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аздолье\ПРОТОКОЛЫ\Собрание 04.25\"/>
    </mc:Choice>
  </mc:AlternateContent>
  <xr:revisionPtr revIDLastSave="0" documentId="13_ncr:1_{1B393446-6A46-41DE-B552-8AA21A7519CA}" xr6:coauthVersionLast="47" xr6:coauthVersionMax="47" xr10:uidLastSave="{00000000-0000-0000-0000-000000000000}"/>
  <bookViews>
    <workbookView xWindow="-108" yWindow="-108" windowWidth="23256" windowHeight="12576" tabRatio="640" xr2:uid="{101F1DDB-A055-46BB-9A90-660F25F73434}"/>
  </bookViews>
  <sheets>
    <sheet name="ФЭО к смете 2024-2025_v2" sheetId="4" r:id="rId1"/>
    <sheet name="КП ремонт дорог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56" i="4"/>
  <c r="E39" i="4"/>
  <c r="E40" i="4"/>
  <c r="E23" i="4"/>
  <c r="F22" i="4"/>
  <c r="J6" i="4"/>
  <c r="K6" i="4"/>
  <c r="L6" i="4"/>
  <c r="J7" i="4"/>
  <c r="K7" i="4"/>
  <c r="L7" i="4"/>
  <c r="F53" i="4" l="1"/>
  <c r="F54" i="4"/>
  <c r="E55" i="4"/>
  <c r="A52" i="4"/>
  <c r="A54" i="4" s="1"/>
  <c r="A55" i="4" s="1"/>
  <c r="F30" i="4"/>
  <c r="I30" i="4" s="1"/>
  <c r="F40" i="4"/>
  <c r="J40" i="4" s="1"/>
  <c r="F38" i="4"/>
  <c r="F39" i="4"/>
  <c r="I39" i="4" s="1"/>
  <c r="G12" i="5"/>
  <c r="G11" i="5"/>
  <c r="G10" i="5"/>
  <c r="G9" i="5"/>
  <c r="G8" i="5"/>
  <c r="G7" i="5"/>
  <c r="F24" i="4"/>
  <c r="F42" i="4"/>
  <c r="J42" i="4" s="1"/>
  <c r="F41" i="4"/>
  <c r="I41" i="4" s="1"/>
  <c r="F52" i="4"/>
  <c r="F51" i="4"/>
  <c r="F65" i="4"/>
  <c r="E28" i="4"/>
  <c r="E26" i="4"/>
  <c r="F19" i="4"/>
  <c r="A56" i="4" l="1"/>
  <c r="A57" i="4" s="1"/>
  <c r="A58" i="4" s="1"/>
  <c r="A59" i="4" s="1"/>
  <c r="A21" i="4"/>
  <c r="A22" i="4" s="1"/>
  <c r="A23" i="4" s="1"/>
  <c r="F35" i="4"/>
  <c r="F68" i="4"/>
  <c r="F43" i="4" s="1"/>
  <c r="B35" i="4"/>
  <c r="F59" i="4"/>
  <c r="F25" i="4"/>
  <c r="F57" i="4"/>
  <c r="O2" i="4"/>
  <c r="J51" i="4" l="1"/>
  <c r="I56" i="4"/>
  <c r="J56" i="4"/>
  <c r="J24" i="4"/>
  <c r="I25" i="4"/>
  <c r="J25" i="4"/>
  <c r="I24" i="4"/>
  <c r="J53" i="4"/>
  <c r="I53" i="4"/>
  <c r="I54" i="4"/>
  <c r="J54" i="4"/>
  <c r="I38" i="4"/>
  <c r="I52" i="4"/>
  <c r="I51" i="4"/>
  <c r="J52" i="4"/>
  <c r="J38" i="4"/>
  <c r="A24" i="4"/>
  <c r="A25" i="4" s="1"/>
  <c r="A26" i="4" s="1"/>
  <c r="A27" i="4" s="1"/>
  <c r="A28" i="4" s="1"/>
  <c r="A29" i="4" s="1"/>
  <c r="A30" i="4" s="1"/>
  <c r="F55" i="4"/>
  <c r="J55" i="4" s="1"/>
  <c r="A36" i="4"/>
  <c r="A37" i="4" s="1"/>
  <c r="A38" i="4" s="1"/>
  <c r="J68" i="4"/>
  <c r="I57" i="4"/>
  <c r="J57" i="4"/>
  <c r="J65" i="4"/>
  <c r="O8" i="4" s="1"/>
  <c r="I59" i="4"/>
  <c r="J22" i="4"/>
  <c r="J59" i="4"/>
  <c r="I22" i="4"/>
  <c r="I20" i="4"/>
  <c r="J20" i="4"/>
  <c r="F21" i="4"/>
  <c r="J19" i="4"/>
  <c r="I19" i="4"/>
  <c r="F26" i="4"/>
  <c r="O3" i="4"/>
  <c r="F58" i="4"/>
  <c r="F44" i="4"/>
  <c r="F37" i="4"/>
  <c r="F36" i="4"/>
  <c r="F34" i="4"/>
  <c r="F33" i="4"/>
  <c r="F32" i="4"/>
  <c r="F31" i="4"/>
  <c r="F29" i="4"/>
  <c r="F28" i="4"/>
  <c r="F27" i="4"/>
  <c r="F23" i="4"/>
  <c r="O9" i="4" l="1"/>
  <c r="F45" i="4"/>
  <c r="F60" i="4"/>
  <c r="A39" i="4"/>
  <c r="J58" i="4"/>
  <c r="J60" i="4" s="1"/>
  <c r="I32" i="4"/>
  <c r="I36" i="4"/>
  <c r="J28" i="4"/>
  <c r="I28" i="4"/>
  <c r="I37" i="4"/>
  <c r="J37" i="4"/>
  <c r="I31" i="4"/>
  <c r="I26" i="4"/>
  <c r="J26" i="4"/>
  <c r="I29" i="4"/>
  <c r="J29" i="4"/>
  <c r="I44" i="4"/>
  <c r="J44" i="4"/>
  <c r="I33" i="4"/>
  <c r="I23" i="4"/>
  <c r="J23" i="4"/>
  <c r="I34" i="4"/>
  <c r="I27" i="4"/>
  <c r="J27" i="4"/>
  <c r="J21" i="4"/>
  <c r="I21" i="4"/>
  <c r="J32" i="4"/>
  <c r="J36" i="4"/>
  <c r="I58" i="4"/>
  <c r="A40" i="4" l="1"/>
  <c r="A41" i="4" s="1"/>
  <c r="A42" i="4" s="1"/>
  <c r="A43" i="4" s="1"/>
  <c r="A44" i="4" s="1"/>
  <c r="I45" i="4"/>
  <c r="J45" i="4"/>
  <c r="I60" i="4"/>
  <c r="N7" i="4"/>
  <c r="F47" i="4" l="1"/>
  <c r="F62" i="4" s="1"/>
  <c r="J46" i="4"/>
  <c r="J47" i="4" s="1"/>
  <c r="I46" i="4"/>
  <c r="I47" i="4" s="1"/>
  <c r="A68" i="4"/>
  <c r="A46" i="4"/>
  <c r="N6" i="4"/>
  <c r="M6" i="4" l="1"/>
  <c r="M7" i="4"/>
  <c r="J61" i="4"/>
  <c r="I61" i="4"/>
  <c r="O6" i="4" l="1"/>
  <c r="O7" i="4"/>
</calcChain>
</file>

<file path=xl/sharedStrings.xml><?xml version="1.0" encoding="utf-8"?>
<sst xmlns="http://schemas.openxmlformats.org/spreadsheetml/2006/main" count="215" uniqueCount="164">
  <si>
    <t>Членские взносы:</t>
  </si>
  <si>
    <t>№</t>
  </si>
  <si>
    <t>Целевые взносы:</t>
  </si>
  <si>
    <t>Статьи расходов</t>
  </si>
  <si>
    <t>Кол-во в год</t>
  </si>
  <si>
    <t>Руб./период</t>
  </si>
  <si>
    <t>месяц</t>
  </si>
  <si>
    <t>Налоги ФОТ</t>
  </si>
  <si>
    <t>Обслуживание р/с (банк), ЭЦП</t>
  </si>
  <si>
    <t>мес</t>
  </si>
  <si>
    <t>год</t>
  </si>
  <si>
    <t>Итого Членские взносы:</t>
  </si>
  <si>
    <t>Итого Целевые взносы:</t>
  </si>
  <si>
    <t>Комментарий в обоснование планируемого размера расхода</t>
  </si>
  <si>
    <t>Стоимость одной сотки в год</t>
  </si>
  <si>
    <t>1 оч</t>
  </si>
  <si>
    <t>2 оч</t>
  </si>
  <si>
    <t>Итого:</t>
  </si>
  <si>
    <t>шт</t>
  </si>
  <si>
    <t>эл-во адм зданий</t>
  </si>
  <si>
    <t>Адвокат. Суды с должниками.</t>
  </si>
  <si>
    <t>Оклад Председателя ТСН, включая НДФЛ 13%</t>
  </si>
  <si>
    <t>Ед.изм.</t>
  </si>
  <si>
    <t>Кол-во</t>
  </si>
  <si>
    <t>Офисные расходы</t>
  </si>
  <si>
    <t>Cотовая связь</t>
  </si>
  <si>
    <t>Песок (гололед)</t>
  </si>
  <si>
    <t>1-я очередь</t>
  </si>
  <si>
    <t>2-я очередь</t>
  </si>
  <si>
    <t> • Федеральным законом от 29.07.2017 № 217-ФЗ "О ведении гражданами садоводства и огородничества для собственных нужд и о внесении изменений в отдельные законодательные акты РФ"; </t>
  </si>
  <si>
    <t>ВЗНОСЫ:</t>
  </si>
  <si>
    <t>членский</t>
  </si>
  <si>
    <t>целевой</t>
  </si>
  <si>
    <t>2024-2025 (руб., сотка/год)</t>
  </si>
  <si>
    <t>В соответствии с законодательством РФ 30,2% ФОТ</t>
  </si>
  <si>
    <t>ВСЕГО расходов:</t>
  </si>
  <si>
    <t>расчетная</t>
  </si>
  <si>
    <t>Непредвиденные расходы</t>
  </si>
  <si>
    <t>Итого*:</t>
  </si>
  <si>
    <t>Песок 10 кубов 10.000 + доставка 3,500. Работы по отсыпке заложены в ст.3 (УК ИП)</t>
  </si>
  <si>
    <t>Услуги ассенизатора, химия</t>
  </si>
  <si>
    <t>Исполнитель с функциями управляющего ТСН</t>
  </si>
  <si>
    <t>Нотариальные услуги/регистрационные услуги</t>
  </si>
  <si>
    <t>Всего:</t>
  </si>
  <si>
    <t>Участков:</t>
  </si>
  <si>
    <t>Соток:</t>
  </si>
  <si>
    <t xml:space="preserve">В соответствии с фактическим расходом предыдущего периода (забор, шлагбаум-ворота, офис, площадка для мусора, гостевая парковка, детская площадка, озеро, пляж, мостки, хоз. нужды - триммер, инструмент, эл. автоматы, лампочки, бензин, леска для триммера, газ балоны). </t>
  </si>
  <si>
    <t>В соответствии с фактическим расходом предыдущего периода, но с корректировкой потенциальных нужд из-за увеличения документооборота и роста потребительских цен (офисная бумага, картридж для принтера, канцтовары и т.д.)</t>
  </si>
  <si>
    <t>Услуги Почты России</t>
  </si>
  <si>
    <t>Уборка снега 1-я очередь</t>
  </si>
  <si>
    <t>Распределением на участки с строениями (дом, бытовка). Учет не по соткам (см.ниже)</t>
  </si>
  <si>
    <t>участков</t>
  </si>
  <si>
    <t>стоимость/мес</t>
  </si>
  <si>
    <r>
      <t>Вывоз мусора</t>
    </r>
    <r>
      <rPr>
        <sz val="11"/>
        <color rgb="FFFF0000"/>
        <rFont val="Calibri"/>
        <family val="2"/>
        <charset val="204"/>
      </rPr>
      <t>*</t>
    </r>
  </si>
  <si>
    <t>цена/мес</t>
  </si>
  <si>
    <t xml:space="preserve">На дату подготовки ФЭО, предыдущее Правление не передало архив документов, информацию. </t>
  </si>
  <si>
    <t xml:space="preserve">В связи с этим в ФЭО учтены запросы на работы/обслуживание тех участков, кто участвовал в обсуждении ФЭО (Реестр собственников прилагается). </t>
  </si>
  <si>
    <t xml:space="preserve">А также с учетом следующего: </t>
  </si>
  <si>
    <t>список участков см.ниже под табличной частью ФЭО</t>
  </si>
  <si>
    <t>Дополнительная составляющая платежей членских и целевых взносов с расчетом не от сотки, а от количества участков (подход Поставщиков услуг):</t>
  </si>
  <si>
    <t>Сумма, руб.
2024-2025</t>
  </si>
  <si>
    <t>эл-во уличное (1-я оч)</t>
  </si>
  <si>
    <t>Дополнительно</t>
  </si>
  <si>
    <t>Стоимость за ед/тариф, руб. (средн расчетн)</t>
  </si>
  <si>
    <t>Потери в эл. сетях (1-я оч)</t>
  </si>
  <si>
    <t>Настоящее финансово-экономическое обоснование является неотъемлемой частью приходно-расходной сметы ТСН "Раздолье" на 2025-2026 год, подготовлено в соответствии с:</t>
  </si>
  <si>
    <t>• Анализом хозяйственной деятельности ТСН "Раздолье" за 2024-2025 год;</t>
  </si>
  <si>
    <t> • Конъюнктурного анализа цен на товары и услуги по итогам расходов за 2024-2025 год. </t>
  </si>
  <si>
    <t>Больша часть собственников 2-й очереди не вышли на связь с Правлением, контактные данные отсутствуют, участки не освоены, нет возможности узнать их потребности.</t>
  </si>
  <si>
    <t>ФЭО сметы представлен к обсуждению на собрании 03.05.2025, может корректироваться жителями на собрании.</t>
  </si>
  <si>
    <t>Для рассмотрения и утверждения Решением внеочередного общего собрания от 03.05.2025</t>
  </si>
  <si>
    <t>Финансово-экономическое обоснование расходной части сметы ТСН "Раздолье" на 2025-2026 (с 01.05.25-30.04.26)</t>
  </si>
  <si>
    <t>Рост оклада на % инфляции - на 15%:
был на 2024-2026г. 25,000/мес на руки, т.е. оклад 28,750 вкл. НДФЛ 13%
28,750*1,15*12 мес
Оклад определен исходя из фактических трудозатрат, по нижней границе сложившейся в других ТСН практики и исходя из текущего количества освоенных участков ТСН (ок.100 уч)</t>
  </si>
  <si>
    <t>Охрана ТСН, включая НДФЛ 13%</t>
  </si>
  <si>
    <t>25,000+15%</t>
  </si>
  <si>
    <t>50,000+15%</t>
  </si>
  <si>
    <t>шт.</t>
  </si>
  <si>
    <t>Увеличено с 1,500/мес + 2500 обслуж бизнес-карты ТСН за 2024-2025, до 5000/мес в связи с ростом тарифов и ожидаемым ростом количества банковских операций</t>
  </si>
  <si>
    <t>Хоз. нужды, инвентарь, включая приобретение оргтехники и их обслуживание/ремонт</t>
  </si>
  <si>
    <t>Резерв (пополнение). Обслуживание трансформатора (1-я очередь)</t>
  </si>
  <si>
    <t>В соответствии с суммой в ежемесячном счете Мосэнергосбыт (порядка 35,000/мес лето, 70,000 зима). Правление в процессе передачи сетей в Россети, что минимизирует расход</t>
  </si>
  <si>
    <t>600КВт*8мес осень-весна + 400КВт*4мес весна-осень + доля потерь в сетях</t>
  </si>
  <si>
    <t>согласно счетов Мосэнергосбыт</t>
  </si>
  <si>
    <t>Уборка снега 2-я очередь по улицам к уч.99, 111 (120), 144 и уч.156</t>
  </si>
  <si>
    <r>
      <rPr>
        <sz val="11"/>
        <color rgb="FFFF0000"/>
        <rFont val="Aptos Narrow"/>
        <family val="2"/>
        <scheme val="minor"/>
      </rPr>
      <t>*</t>
    </r>
    <r>
      <rPr>
        <sz val="11"/>
        <color theme="1"/>
        <rFont val="Aptos Narrow"/>
        <family val="2"/>
        <charset val="204"/>
        <scheme val="minor"/>
      </rPr>
      <t>подлежит включению в квитанции 56 участков №№: 1, 2, 3, 4, 7, 12, 13, 14, 15, 19, 20, 22, 23, 24, 25 (26), 30, 32, 34, 35, 36, 37, 39, 40, 41, 42, 43, 45, 48, 50, 52, 53, 55, 56, 57, 58, 61, 62, 64, 65, 66, 67, 68, 69, 71, 73, 76, 82, 243, 87, 93, 99, 101, 111 (120), 144, 155, 156</t>
    </r>
    <r>
      <rPr>
        <sz val="11"/>
        <color theme="1"/>
        <rFont val="Aptos Narrow"/>
        <family val="2"/>
        <scheme val="minor"/>
      </rPr>
      <t>. При постройке новых домов будет расширен перечень участков, оплачивающих мусор</t>
    </r>
  </si>
  <si>
    <t>Расчет произведен на основе:
1. ДС № 13005 с тарифами на 2025 к договору с подрядной организацией - 206,000/год + 10% роста тирифа с 2026
2. Договор аренды контейнера - 1,100/1шт/мес
3. Заложена аренда 2-го контейнера на случай поломки другого контейнера, либо как 3-й контейнер на летний сезон: 1100*6мес*2шт
4. Согласно решения ВС РФ вывоз мусора распределен на участки со строениями https://www.vsrf.ru/press_center/mass_media/31435/?ysclid=m01iscw91u504654446   (предполагается, что будет отдельной строкой в квитанции)</t>
  </si>
  <si>
    <t>Модернизация административных построек</t>
  </si>
  <si>
    <t>Сумма, руб.
 2025-2026</t>
  </si>
  <si>
    <t>Раздевалка на пляж</t>
  </si>
  <si>
    <t>Запрос жителей</t>
  </si>
  <si>
    <t>Лежаки на пляж</t>
  </si>
  <si>
    <t>Пляж (ремонт)</t>
  </si>
  <si>
    <t>Строительство дороги (2-я очередь)</t>
  </si>
  <si>
    <t>Согласно тарифа МТС и фактического потребления услуг связи прошлого 2024-2025г.</t>
  </si>
  <si>
    <r>
      <t>Уборка снега 2-я очередь (общая дорога до уч 86(А) и далее по улицам к уч.99, 111 (120), 144, 156)</t>
    </r>
    <r>
      <rPr>
        <b/>
        <sz val="11"/>
        <rFont val="Calibri"/>
        <family val="2"/>
        <charset val="204"/>
      </rPr>
      <t>**</t>
    </r>
  </si>
  <si>
    <t>Покос обочин</t>
  </si>
  <si>
    <t>1С.Садовод</t>
  </si>
  <si>
    <t>1С.Садовод + сдача отчетности (приобретение доступа к облачному ресурсу)
25,000/год</t>
  </si>
  <si>
    <t>Бухгалтерское обслуживание</t>
  </si>
  <si>
    <t>Объект:     Московская область,</t>
  </si>
  <si>
    <t xml:space="preserve">Работы:    Ямочный ремонт              </t>
  </si>
  <si>
    <t>СМЕТА</t>
  </si>
  <si>
    <t xml:space="preserve">Описание  работ </t>
  </si>
  <si>
    <t xml:space="preserve">Марка, тип </t>
  </si>
  <si>
    <t>Ед. изм.</t>
  </si>
  <si>
    <t>Количество</t>
  </si>
  <si>
    <t xml:space="preserve">  </t>
  </si>
  <si>
    <t xml:space="preserve">Цена за ед. руб  </t>
  </si>
  <si>
    <t>Стоимость. Руб</t>
  </si>
  <si>
    <t>1.1</t>
  </si>
  <si>
    <t xml:space="preserve">Ямочный ремонт из асфальтовой крошки </t>
  </si>
  <si>
    <t>м2</t>
  </si>
  <si>
    <t>1.2</t>
  </si>
  <si>
    <t xml:space="preserve">Ямочный ремонт из Щебня 20*40 известняк </t>
  </si>
  <si>
    <t>1.3</t>
  </si>
  <si>
    <t xml:space="preserve">Разработка грунта </t>
  </si>
  <si>
    <t>м3</t>
  </si>
  <si>
    <t>1.4</t>
  </si>
  <si>
    <t>Устройство кирпичного или бетонного боя 300-400 мм</t>
  </si>
  <si>
    <t>1.5</t>
  </si>
  <si>
    <t xml:space="preserve">Устройство асфальтовой крошки толщиной 7-10 см </t>
  </si>
  <si>
    <t>1.6</t>
  </si>
  <si>
    <t xml:space="preserve">Праливка битумной эмулсии </t>
  </si>
  <si>
    <t>21000руб*3раза/год (трактором)</t>
  </si>
  <si>
    <t>Ремонт дорог (ямочный) 1-я очередь</t>
  </si>
  <si>
    <t>Ремонт дорог (ямочный) 2-я очередь общая дорога (до уч 86(А)</t>
  </si>
  <si>
    <t>устройство дорог</t>
  </si>
  <si>
    <r>
      <rPr>
        <sz val="11"/>
        <color rgb="FFFF0000"/>
        <rFont val="Aptos Narrow"/>
        <family val="2"/>
        <scheme val="minor"/>
      </rPr>
      <t>**</t>
    </r>
    <r>
      <rPr>
        <sz val="11"/>
        <color theme="1"/>
        <rFont val="Aptos Narrow"/>
        <family val="2"/>
        <charset val="204"/>
        <scheme val="minor"/>
      </rPr>
      <t>подлежит включению в квитанции 6 участков доп оплата за снег: 87, 93, 99, 111 (120), 144, 156. При постройке новых домов будет расширен перечень участков, оплачивающих чистку до участка</t>
    </r>
  </si>
  <si>
    <t xml:space="preserve">    13.1</t>
  </si>
  <si>
    <t xml:space="preserve">    13.2</t>
  </si>
  <si>
    <t xml:space="preserve">    13.3</t>
  </si>
  <si>
    <t>Замена ламп освещения</t>
  </si>
  <si>
    <r>
      <t xml:space="preserve">фонари 1-я очередь - в целях экономии </t>
    </r>
    <r>
      <rPr>
        <b/>
        <i/>
        <sz val="11"/>
        <rFont val="Calibri"/>
        <family val="2"/>
        <charset val="204"/>
      </rPr>
      <t>подрядчик вызывает при перегорании не менее 4-х ламп</t>
    </r>
    <r>
      <rPr>
        <i/>
        <sz val="11"/>
        <rFont val="Calibri"/>
        <family val="2"/>
        <charset val="204"/>
      </rPr>
      <t xml:space="preserve">. 
</t>
    </r>
    <r>
      <rPr>
        <b/>
        <i/>
        <sz val="11"/>
        <rFont val="Calibri"/>
        <family val="2"/>
        <charset val="204"/>
      </rPr>
      <t>В целях экономии следующих лет,</t>
    </r>
    <r>
      <rPr>
        <i/>
        <sz val="11"/>
        <rFont val="Calibri"/>
        <family val="2"/>
        <charset val="204"/>
      </rPr>
      <t xml:space="preserve"> по опыту соседних поселков, предложен переход от ламп на дуге к лампам в верхней части столка (в основании дуги) с тем, чтоб замену осуществлять без вызова люльки-крана</t>
    </r>
  </si>
  <si>
    <t>Полы, утепление, отопление, сваи и др.</t>
  </si>
  <si>
    <t>Ливневки (местный ремонт)</t>
  </si>
  <si>
    <t>заложен только мелкий ремонт. Ведутся сборы КП от подрядных организаций с запросом ремонта дорог, включающих капитальный ремонт/создание ливневок</t>
  </si>
  <si>
    <t>Песок 3 машины по 11,000 + доставка 3,500=36,500+работа трактора=50,000. Ремонт трубы ливневой 50,000</t>
  </si>
  <si>
    <t>Спорт объекты</t>
  </si>
  <si>
    <t>Теннисный стол, турники и др.</t>
  </si>
  <si>
    <t>Период/шт</t>
  </si>
  <si>
    <t>Обустройство дорог 2-й очереди. Предложения от жителей не поступили. Правлением получено КП от подрядчика, но ведется поиск альтернативных подрядчиков.
По имеющемуся КП (см.закладка "КП ремонт дорог"), стоимость сооружения дороги (снятие грунта+бой+асфальтовая крошка) составляет 2020 руб/кв.м. Площадь дорог 7239 м². Цена итого 14,6 млн.руб. (это 92 500 руб/уч) - указано в настоящем ФЭО. При этом по кадастру площадь дороги 48965 кв.м., тогда обустройство дорог стоит 99 млн.руб. (это платеж 620 000 руб/уч). Необходимо уточнение с подрядчиком</t>
  </si>
  <si>
    <t>2025-2026 (руб., сотка/год)</t>
  </si>
  <si>
    <r>
      <t>Дополнительная плата за чистку до дома 6 участков: 1,000 руб*6уч*5мес=30,000.</t>
    </r>
    <r>
      <rPr>
        <i/>
        <sz val="11"/>
        <color rgb="FFFF0000"/>
        <rFont val="Calibri"/>
        <family val="2"/>
        <charset val="204"/>
      </rPr>
      <t>**</t>
    </r>
    <r>
      <rPr>
        <i/>
        <sz val="11"/>
        <rFont val="Calibri"/>
        <family val="2"/>
        <charset val="204"/>
      </rPr>
      <t xml:space="preserve">
</t>
    </r>
  </si>
  <si>
    <t>Уборка снега 2-я очередь по улицам к уч.99, 111 (120), 144, 156)**</t>
  </si>
  <si>
    <t xml:space="preserve">мес </t>
  </si>
  <si>
    <t>снег до уч 2-я оч, руб/мес</t>
  </si>
  <si>
    <t>мусор с уч, руб/мес</t>
  </si>
  <si>
    <t xml:space="preserve">Рост стоимости услуг на % инфляции - на 15%:
был на 2024-2025г. 50,000/мес. 
Договорная стоимость определена исходя из трудозатрат и сложившейся в других ТСН практики (Текущий ремонт и организация работ по обслуживанию объектов ТСН; Прочистка ливневок - оперативный ремонт; Покос и обслуживание въездной зоны; Административные активности: взаимодействие с бухгалтерией, нотариусом, адвокатом по масштабным судебным делам против неплательщиков, работа с населением, должниками, госорганами; Сбор и передача показаний счетчиков электроэнергии общего электричества. </t>
  </si>
  <si>
    <t>Пополнение резерва на 50,000 (на случай мелкого ремонта, также может быть использовано в целях статьи 11). При существенной поломке будет открыт внеочередной сбор. Возможность пополнения резерва предусмотрена прошлогодней сметой 2024-2025: "При неизрасходовании будет формирование резерва в учете - при отсутствии ремонта в текущем году, сумма в новой смете участвовать либо не будет, либо будет продолжено накопление по этой статье."</t>
  </si>
  <si>
    <r>
      <t xml:space="preserve">Ремонт дорог весной 2025 (в т.ч.2-я очередь общая дорога до уч.86(А) был заложен в смету 2024-2025: Асф.крошка/гравий+доставка 5 машин * 30,000 + работа трактора согласно расценок прошлого года 30,000 + рабочие = 200,000. Кроме того, пердыдущим правлением не выполнен ремонт дорог общей дороги 2-й очереди 2023-2024 на сумму 50,000.
Так, в связи с недосбором взносов, настоящей сметой предусмотрен сбор.
</t>
    </r>
    <r>
      <rPr>
        <b/>
        <i/>
        <sz val="11"/>
        <rFont val="Calibri"/>
        <family val="2"/>
        <charset val="204"/>
      </rPr>
      <t>Собранию выбрать между ямочным ремонтом силами жителей или подрядчиком.</t>
    </r>
    <r>
      <rPr>
        <i/>
        <sz val="11"/>
        <rFont val="Calibri"/>
        <family val="2"/>
        <charset val="204"/>
      </rPr>
      <t xml:space="preserve">
Ямочный силами ТСН (учтен в ФЭО): 66,000руб.+14000 аренда техники+рабочие 20,000
Ямочный подрядчиком (расценки см. в закладке "КП Ремонт дорог"):
</t>
    </r>
    <r>
      <rPr>
        <b/>
        <i/>
        <sz val="11"/>
        <rFont val="Calibri"/>
        <family val="2"/>
        <charset val="204"/>
      </rPr>
      <t>150 м²*790р.= 118,500</t>
    </r>
  </si>
  <si>
    <r>
      <t xml:space="preserve">Ремонт дорог весной 2025 (в т.ч.2-я очередь общая дорога до уч.86(А) был заложен в смету 2024-2025: Асф.крошка/гравий+доставка 5 машин * 30,000 + работа трактора согласно расценок прошлого года 30,000 + рабочие = 200,000. 
Так, в связи с недосбором взносов, настоящей сметой предусмотрен сбор.
</t>
    </r>
    <r>
      <rPr>
        <b/>
        <i/>
        <sz val="11"/>
        <rFont val="Calibri"/>
        <family val="2"/>
        <charset val="204"/>
      </rPr>
      <t>Собранию выбрать между ямочным ремонтом силами жителей или подрядчиком.</t>
    </r>
    <r>
      <rPr>
        <i/>
        <sz val="11"/>
        <rFont val="Calibri"/>
        <family val="2"/>
        <charset val="204"/>
      </rPr>
      <t xml:space="preserve">
Ямочный силами жителей (учтен в ФЭО): 96,000р.+14000 аренда техники+рабочие 20,000
Ямочный подрядчиком (расценки см. в закладке "КП Ремонт дорог"):
</t>
    </r>
    <r>
      <rPr>
        <b/>
        <i/>
        <sz val="11"/>
        <rFont val="Calibri"/>
        <family val="2"/>
        <charset val="204"/>
      </rPr>
      <t>500 м²*800р.=400,000</t>
    </r>
  </si>
  <si>
    <r>
      <t>Чистка в т.ч.:
Чистка общей дороги: 8,000*5раз в мес*5мес=</t>
    </r>
    <r>
      <rPr>
        <b/>
        <i/>
        <sz val="11"/>
        <color rgb="FFFF0000"/>
        <rFont val="Calibri"/>
        <family val="2"/>
        <charset val="204"/>
      </rPr>
      <t>200,000</t>
    </r>
    <r>
      <rPr>
        <i/>
        <sz val="11"/>
        <rFont val="Calibri"/>
        <family val="2"/>
        <charset val="204"/>
      </rPr>
      <t xml:space="preserve">
Общая дорога от въезда в ТСН до уч 86(А) оплачивается всеми собственниками 2-й очереди, далее по улицам оплачивают участки, имеющие строения. </t>
    </r>
  </si>
  <si>
    <t>Дополнительно индивидуально с 6 участков чистка до дома: 1,000*6уч*5мес=30,000.**</t>
  </si>
  <si>
    <t>10,000/чистка * 4 раз в мес =48,000</t>
  </si>
  <si>
    <t>Услуги 2024-2025 6500руб. Заложен рост услуг подрядчика + химия для выгребных ям</t>
  </si>
  <si>
    <t>Организация праздников</t>
  </si>
  <si>
    <t>НГ, масленница, майские</t>
  </si>
  <si>
    <t>до 5% стоимости товаров и услуг, входящих в членские взносы (Непредвиденные расходы: не учтенные в вышеизложенных статьях расходы, возникновение которых может быть обусловлено удорожанием цен работ и услуг (в т.ч. связанным с инфляцией), затратами, связанными с изменением законодательства, решением властей различного уровня, возможными штрафами, решениями суда, услугами адвоката для представления интересов ТСН в суде (в случае превышения минимально необходимых расходов, согласно статей сметы); с аварийными работами и устранением различных повреждений.</t>
  </si>
  <si>
    <t>Оплата услуг Почты России в связи с предстоящими судами против должников. Количество участков установлено с учетом текущих собственников неплательщиков, а также предыдущих собственников неплательщиков. Указанная сумма может быть использована при необходимости в целях ст.5,8,9,10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</si>
  <si>
    <t>Оплата услуг и госпошлин для получения данных собственников порядка 200 участков, т.к. скрытые собственники перепродают участки, новые собственники которых. также не выходят на связь (цель: поддержание рееста собственников в актуальном состоянии в т.ч.для судов против должников): 700*200 уч.=140,000
Указанная сумма может быть использована при необходимости в целях ст.5,8,9,10,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</si>
  <si>
    <t>расчет оплаты за работу с одним должником: оплата производится поэтапно (этапы 1-4), в случае если какой то из этапов не наступает или пропускается, то такой этап оплате не подлежит. Оплата каждого договоренного этапа может производится как единоразово, так и с ежемесячной рассрочкой на срок не более 1 года. 
1 Этап. Досудебная работа 
2-3 Этап. Судебное производство
4 Этап. Исковое производство 
Указанная сумма может быть использована при необходимости в целях ст.5,8,9,10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</si>
  <si>
    <r>
      <t xml:space="preserve">Функционал аутсорсинговой компании как оказалось сильно ограничен, включенная стоимость услуг в смету 2024-2025 не покрывает полного объема услуг по ведению бухучета - чтобы избежать двукратного превышения сметы, исполнитель с функциями управляющего ТСН существенную часть работы бухгалетрии принял на себя (подробно будет отражено в Отчете Правления на собрании). 
Было заложено в смету 2024-2025 по 15,000/мес.
Планируется отказ от дальнейшей работы с ИП Акимова, и переход на взаимодействие с бухгалтером. Цена услуг бухгалтера по ведению учета 20,000 + закладывается минимальный резерв на доп услуги 5,000 на случай (включая, но не ограничиваясь): взаимодействие с адвокатом, статистическая отчетность (у всех аутсорсеров это доп услуга) и др., а также затраты за отказ от ИП Акимова, получение базы
</t>
    </r>
    <r>
      <rPr>
        <i/>
        <sz val="11"/>
        <color rgb="FFFF0000"/>
        <rFont val="Calibri"/>
        <family val="2"/>
        <charset val="204"/>
      </rPr>
      <t>В случае перерасхода/экономии по статьям затрат бюджет сметы может быть перераспределен с детальным подтверждением перераспределения</t>
    </r>
  </si>
  <si>
    <t>Рост оклада на % инфляции - на 15%:
был на 2024-2026г. 25,000/мес на руки, т.е. оклад 28,750 вкл. НДФЛ 13%. 2 сотрудника
28,750*1,15*12 мес*2чел + 10,000*2 премия по Новый год</t>
  </si>
  <si>
    <t>13.4.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</si>
</sst>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_р_._-;\-* #,##0.00_р_._-;_-* &quot;-&quot;??_р_._-;_-@_-"/>
    <numFmt numFmtId="166" formatCode="d/m;@"/>
    <numFmt numFmtId="167" formatCode="#,##0.0"/>
  </numFmts>
  <fonts count="40" x14ac:knownFonts="1">
    <font>
      <sz val="11"/>
      <color theme="1"/>
      <name val="Aptos Narrow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color theme="1"/>
      <name val="Aptos Narrow"/>
      <family val="2"/>
      <scheme val="minor"/>
    </font>
    <font>
      <i/>
      <sz val="11"/>
      <color rgb="FFFF0000"/>
      <name val="Calibri"/>
      <family val="2"/>
      <charset val="204"/>
    </font>
    <font>
      <i/>
      <sz val="11"/>
      <color theme="1"/>
      <name val="Aptos Narrow"/>
      <family val="2"/>
      <scheme val="minor"/>
    </font>
    <font>
      <b/>
      <sz val="14"/>
      <color rgb="FFFF0000"/>
      <name val="Calibri"/>
      <family val="2"/>
      <charset val="204"/>
    </font>
    <font>
      <b/>
      <sz val="11"/>
      <color theme="1"/>
      <name val="Aptos Narrow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rgb="FFFF0000"/>
      <name val="Aptos Narrow"/>
      <family val="2"/>
      <scheme val="minor"/>
    </font>
    <font>
      <sz val="14"/>
      <color theme="1"/>
      <name val="Aptos"/>
      <family val="2"/>
    </font>
    <font>
      <sz val="11"/>
      <color rgb="FFFF0000"/>
      <name val="Aptos"/>
      <family val="2"/>
    </font>
    <font>
      <sz val="8"/>
      <name val="Aptos Narrow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  <charset val="204"/>
    </font>
    <font>
      <sz val="11"/>
      <name val="Aptos"/>
      <family val="2"/>
    </font>
    <font>
      <sz val="11"/>
      <color theme="1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8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sz val="18"/>
      <color indexed="8"/>
      <name val="Calibri"/>
      <family val="2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Aptos Narrow"/>
      <family val="2"/>
      <charset val="204"/>
      <scheme val="minor"/>
    </font>
    <font>
      <sz val="18"/>
      <color indexed="8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5" fillId="0" borderId="0"/>
    <xf numFmtId="0" fontId="28" fillId="0" borderId="0"/>
    <xf numFmtId="165" fontId="25" fillId="0" borderId="0" applyFont="0" applyFill="0" applyBorder="0" applyAlignment="0" applyProtection="0"/>
  </cellStyleXfs>
  <cellXfs count="258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4" fontId="0" fillId="0" borderId="0" xfId="0" applyNumberFormat="1"/>
    <xf numFmtId="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8" fillId="0" borderId="1" xfId="0" applyFont="1" applyBorder="1" applyAlignment="1">
      <alignment vertical="top"/>
    </xf>
    <xf numFmtId="4" fontId="0" fillId="2" borderId="1" xfId="0" applyNumberFormat="1" applyFill="1" applyBorder="1" applyAlignment="1">
      <alignment horizontal="center" vertical="top" wrapText="1"/>
    </xf>
    <xf numFmtId="4" fontId="0" fillId="2" borderId="0" xfId="0" applyNumberForma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0" fontId="0" fillId="0" borderId="0" xfId="0" applyAlignment="1">
      <alignment horizontal="center"/>
    </xf>
    <xf numFmtId="4" fontId="13" fillId="0" borderId="0" xfId="0" applyNumberFormat="1" applyFont="1"/>
    <xf numFmtId="0" fontId="8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vertical="top"/>
    </xf>
    <xf numFmtId="4" fontId="14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0" fillId="4" borderId="1" xfId="0" applyNumberFormat="1" applyFill="1" applyBorder="1" applyAlignment="1">
      <alignment vertical="top"/>
    </xf>
    <xf numFmtId="4" fontId="13" fillId="2" borderId="0" xfId="0" applyNumberFormat="1" applyFont="1" applyFill="1" applyAlignment="1">
      <alignment vertical="top"/>
    </xf>
    <xf numFmtId="0" fontId="8" fillId="0" borderId="7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7" fillId="0" borderId="3" xfId="0" applyFont="1" applyBorder="1" applyAlignment="1">
      <alignment horizontal="center" vertical="top"/>
    </xf>
    <xf numFmtId="0" fontId="8" fillId="0" borderId="16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4" fontId="8" fillId="0" borderId="17" xfId="0" applyNumberFormat="1" applyFont="1" applyBorder="1" applyAlignment="1">
      <alignment vertical="top"/>
    </xf>
    <xf numFmtId="4" fontId="14" fillId="0" borderId="11" xfId="0" applyNumberFormat="1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4" fontId="7" fillId="0" borderId="10" xfId="0" applyNumberFormat="1" applyFont="1" applyBorder="1" applyAlignment="1">
      <alignment vertical="top"/>
    </xf>
    <xf numFmtId="4" fontId="3" fillId="0" borderId="10" xfId="0" applyNumberFormat="1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4" fontId="3" fillId="0" borderId="3" xfId="0" applyNumberFormat="1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top"/>
    </xf>
    <xf numFmtId="4" fontId="7" fillId="0" borderId="20" xfId="0" applyNumberFormat="1" applyFont="1" applyBorder="1" applyAlignment="1">
      <alignment vertical="top"/>
    </xf>
    <xf numFmtId="4" fontId="3" fillId="0" borderId="20" xfId="0" applyNumberFormat="1" applyFont="1" applyBorder="1" applyAlignment="1">
      <alignment vertical="top"/>
    </xf>
    <xf numFmtId="0" fontId="8" fillId="0" borderId="21" xfId="0" applyFont="1" applyBorder="1" applyAlignment="1">
      <alignment vertical="top" wrapText="1"/>
    </xf>
    <xf numFmtId="0" fontId="5" fillId="2" borderId="22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4" fontId="7" fillId="0" borderId="25" xfId="0" applyNumberFormat="1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vertical="top"/>
    </xf>
    <xf numFmtId="0" fontId="12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right" vertical="top"/>
    </xf>
    <xf numFmtId="4" fontId="16" fillId="2" borderId="0" xfId="0" applyNumberFormat="1" applyFont="1" applyFill="1" applyAlignment="1">
      <alignment vertical="top"/>
    </xf>
    <xf numFmtId="4" fontId="13" fillId="0" borderId="1" xfId="0" applyNumberFormat="1" applyFont="1" applyBorder="1"/>
    <xf numFmtId="164" fontId="7" fillId="0" borderId="10" xfId="0" applyNumberFormat="1" applyFont="1" applyBorder="1" applyAlignment="1">
      <alignment vertical="top"/>
    </xf>
    <xf numFmtId="4" fontId="7" fillId="0" borderId="25" xfId="0" applyNumberFormat="1" applyFont="1" applyBorder="1" applyAlignment="1">
      <alignment horizontal="center" vertical="top"/>
    </xf>
    <xf numFmtId="4" fontId="7" fillId="0" borderId="10" xfId="0" applyNumberFormat="1" applyFont="1" applyBorder="1" applyAlignment="1">
      <alignment horizontal="center" vertical="top"/>
    </xf>
    <xf numFmtId="4" fontId="7" fillId="0" borderId="20" xfId="0" applyNumberFormat="1" applyFont="1" applyBorder="1" applyAlignment="1">
      <alignment horizontal="center" vertical="top"/>
    </xf>
    <xf numFmtId="0" fontId="17" fillId="0" borderId="0" xfId="0" applyFont="1"/>
    <xf numFmtId="4" fontId="17" fillId="0" borderId="1" xfId="0" applyNumberFormat="1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11" fillId="4" borderId="13" xfId="0" applyFont="1" applyFill="1" applyBorder="1" applyAlignment="1">
      <alignment vertical="top"/>
    </xf>
    <xf numFmtId="0" fontId="11" fillId="2" borderId="24" xfId="0" applyFont="1" applyFill="1" applyBorder="1" applyAlignment="1">
      <alignment horizontal="center" vertical="top" wrapText="1"/>
    </xf>
    <xf numFmtId="0" fontId="15" fillId="0" borderId="5" xfId="0" applyFont="1" applyBorder="1"/>
    <xf numFmtId="0" fontId="15" fillId="0" borderId="0" xfId="0" applyFont="1" applyAlignment="1">
      <alignment horizontal="center"/>
    </xf>
    <xf numFmtId="0" fontId="18" fillId="4" borderId="28" xfId="0" applyFont="1" applyFill="1" applyBorder="1" applyAlignment="1">
      <alignment vertical="top"/>
    </xf>
    <xf numFmtId="0" fontId="18" fillId="4" borderId="29" xfId="0" applyFont="1" applyFill="1" applyBorder="1" applyAlignment="1">
      <alignment vertical="top"/>
    </xf>
    <xf numFmtId="0" fontId="18" fillId="4" borderId="29" xfId="0" applyFont="1" applyFill="1" applyBorder="1" applyAlignment="1">
      <alignment horizontal="center" vertical="top"/>
    </xf>
    <xf numFmtId="4" fontId="18" fillId="4" borderId="29" xfId="0" applyNumberFormat="1" applyFont="1" applyFill="1" applyBorder="1" applyAlignment="1">
      <alignment vertical="top"/>
    </xf>
    <xf numFmtId="4" fontId="3" fillId="4" borderId="29" xfId="0" applyNumberFormat="1" applyFont="1" applyFill="1" applyBorder="1" applyAlignment="1">
      <alignment vertical="top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5" borderId="27" xfId="0" applyFont="1" applyFill="1" applyBorder="1" applyAlignment="1">
      <alignment vertical="top"/>
    </xf>
    <xf numFmtId="0" fontId="7" fillId="5" borderId="27" xfId="0" applyFont="1" applyFill="1" applyBorder="1" applyAlignment="1">
      <alignment horizontal="center" vertical="top"/>
    </xf>
    <xf numFmtId="10" fontId="7" fillId="5" borderId="27" xfId="0" applyNumberFormat="1" applyFont="1" applyFill="1" applyBorder="1" applyAlignment="1">
      <alignment vertical="top"/>
    </xf>
    <xf numFmtId="4" fontId="3" fillId="5" borderId="27" xfId="0" applyNumberFormat="1" applyFont="1" applyFill="1" applyBorder="1" applyAlignment="1">
      <alignment vertical="top"/>
    </xf>
    <xf numFmtId="0" fontId="8" fillId="5" borderId="14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7" fillId="0" borderId="37" xfId="0" applyFont="1" applyBorder="1" applyAlignment="1">
      <alignment vertical="top" wrapText="1"/>
    </xf>
    <xf numFmtId="0" fontId="7" fillId="0" borderId="37" xfId="0" applyFont="1" applyBorder="1" applyAlignment="1">
      <alignment horizontal="center" vertical="top"/>
    </xf>
    <xf numFmtId="4" fontId="7" fillId="0" borderId="37" xfId="0" applyNumberFormat="1" applyFont="1" applyBorder="1" applyAlignment="1">
      <alignment horizontal="center" vertical="top"/>
    </xf>
    <xf numFmtId="4" fontId="3" fillId="0" borderId="37" xfId="0" applyNumberFormat="1" applyFont="1" applyBorder="1" applyAlignment="1">
      <alignment vertical="top"/>
    </xf>
    <xf numFmtId="0" fontId="8" fillId="0" borderId="38" xfId="0" applyFont="1" applyBorder="1" applyAlignment="1">
      <alignment vertical="top" wrapText="1"/>
    </xf>
    <xf numFmtId="0" fontId="0" fillId="0" borderId="6" xfId="0" applyBorder="1"/>
    <xf numFmtId="3" fontId="0" fillId="0" borderId="1" xfId="0" applyNumberForma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right"/>
    </xf>
    <xf numFmtId="4" fontId="19" fillId="0" borderId="1" xfId="0" applyNumberFormat="1" applyFont="1" applyBorder="1" applyAlignment="1">
      <alignment vertical="top"/>
    </xf>
    <xf numFmtId="4" fontId="1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/>
    <xf numFmtId="0" fontId="1" fillId="2" borderId="0" xfId="0" applyFont="1" applyFill="1" applyAlignment="1">
      <alignment horizontal="left" vertical="top"/>
    </xf>
    <xf numFmtId="0" fontId="9" fillId="0" borderId="0" xfId="0" applyFont="1" applyAlignment="1">
      <alignment wrapText="1"/>
    </xf>
    <xf numFmtId="0" fontId="7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7" fillId="5" borderId="20" xfId="0" applyFont="1" applyFill="1" applyBorder="1" applyAlignment="1">
      <alignment vertical="top" wrapText="1"/>
    </xf>
    <xf numFmtId="0" fontId="7" fillId="5" borderId="20" xfId="0" applyFont="1" applyFill="1" applyBorder="1" applyAlignment="1">
      <alignment horizontal="center" vertical="top"/>
    </xf>
    <xf numFmtId="4" fontId="7" fillId="5" borderId="25" xfId="0" applyNumberFormat="1" applyFont="1" applyFill="1" applyBorder="1" applyAlignment="1">
      <alignment vertical="top"/>
    </xf>
    <xf numFmtId="4" fontId="3" fillId="5" borderId="20" xfId="0" applyNumberFormat="1" applyFont="1" applyFill="1" applyBorder="1" applyAlignment="1">
      <alignment vertical="top"/>
    </xf>
    <xf numFmtId="0" fontId="8" fillId="5" borderId="21" xfId="0" applyFont="1" applyFill="1" applyBorder="1" applyAlignment="1">
      <alignment vertical="top" wrapText="1"/>
    </xf>
    <xf numFmtId="0" fontId="5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right" vertical="top"/>
    </xf>
    <xf numFmtId="4" fontId="3" fillId="6" borderId="4" xfId="0" applyNumberFormat="1" applyFont="1" applyFill="1" applyBorder="1" applyAlignment="1">
      <alignment vertical="top"/>
    </xf>
    <xf numFmtId="0" fontId="11" fillId="7" borderId="14" xfId="0" applyFont="1" applyFill="1" applyBorder="1" applyAlignment="1">
      <alignment vertical="top"/>
    </xf>
    <xf numFmtId="0" fontId="8" fillId="6" borderId="14" xfId="0" applyFont="1" applyFill="1" applyBorder="1" applyAlignment="1">
      <alignment vertical="top"/>
    </xf>
    <xf numFmtId="0" fontId="29" fillId="0" borderId="0" xfId="0" applyFont="1"/>
    <xf numFmtId="0" fontId="7" fillId="5" borderId="18" xfId="0" applyFont="1" applyFill="1" applyBorder="1" applyAlignment="1">
      <alignment horizontal="right" vertical="top"/>
    </xf>
    <xf numFmtId="4" fontId="3" fillId="0" borderId="9" xfId="0" applyNumberFormat="1" applyFont="1" applyBorder="1" applyAlignment="1">
      <alignment vertical="top"/>
    </xf>
    <xf numFmtId="16" fontId="8" fillId="0" borderId="15" xfId="0" applyNumberFormat="1" applyFont="1" applyBorder="1" applyAlignment="1">
      <alignment horizontal="right" vertical="top"/>
    </xf>
    <xf numFmtId="16" fontId="8" fillId="0" borderId="18" xfId="0" applyNumberFormat="1" applyFont="1" applyBorder="1" applyAlignment="1">
      <alignment horizontal="right" vertical="top"/>
    </xf>
    <xf numFmtId="0" fontId="8" fillId="0" borderId="25" xfId="0" applyFont="1" applyBorder="1" applyAlignment="1">
      <alignment vertical="top" wrapText="1"/>
    </xf>
    <xf numFmtId="0" fontId="30" fillId="8" borderId="0" xfId="2" applyFont="1" applyFill="1" applyAlignment="1">
      <alignment horizontal="center" vertical="center"/>
    </xf>
    <xf numFmtId="0" fontId="30" fillId="8" borderId="0" xfId="2" applyFont="1" applyFill="1"/>
    <xf numFmtId="4" fontId="30" fillId="8" borderId="0" xfId="2" applyNumberFormat="1" applyFont="1" applyFill="1" applyAlignment="1">
      <alignment horizontal="center" vertical="center"/>
    </xf>
    <xf numFmtId="0" fontId="25" fillId="0" borderId="0" xfId="2"/>
    <xf numFmtId="49" fontId="31" fillId="0" borderId="1" xfId="2" applyNumberFormat="1" applyFont="1" applyBorder="1" applyAlignment="1">
      <alignment horizontal="left" vertical="center"/>
    </xf>
    <xf numFmtId="165" fontId="33" fillId="9" borderId="42" xfId="4" applyFont="1" applyFill="1" applyBorder="1" applyAlignment="1" applyProtection="1">
      <alignment horizontal="center" vertical="center" wrapText="1"/>
      <protection locked="0"/>
    </xf>
    <xf numFmtId="49" fontId="34" fillId="0" borderId="1" xfId="2" applyNumberFormat="1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vertical="center" wrapText="1"/>
    </xf>
    <xf numFmtId="166" fontId="35" fillId="0" borderId="1" xfId="2" applyNumberFormat="1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167" fontId="36" fillId="0" borderId="1" xfId="2" applyNumberFormat="1" applyFont="1" applyBorder="1" applyAlignment="1">
      <alignment horizontal="center" vertical="center"/>
    </xf>
    <xf numFmtId="4" fontId="37" fillId="0" borderId="1" xfId="4" applyNumberFormat="1" applyFont="1" applyFill="1" applyBorder="1" applyAlignment="1" applyProtection="1">
      <alignment horizontal="center" vertical="center"/>
      <protection locked="0"/>
    </xf>
    <xf numFmtId="0" fontId="35" fillId="0" borderId="1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4" fontId="37" fillId="0" borderId="1" xfId="2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top" wrapText="1"/>
    </xf>
    <xf numFmtId="4" fontId="39" fillId="0" borderId="0" xfId="2" applyNumberFormat="1" applyFont="1"/>
    <xf numFmtId="0" fontId="39" fillId="0" borderId="0" xfId="2" applyFont="1"/>
    <xf numFmtId="0" fontId="7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4" fontId="4" fillId="0" borderId="10" xfId="0" applyNumberFormat="1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7" fillId="5" borderId="39" xfId="0" applyFont="1" applyFill="1" applyBorder="1" applyAlignment="1">
      <alignment vertical="top"/>
    </xf>
    <xf numFmtId="0" fontId="4" fillId="0" borderId="15" xfId="0" applyFont="1" applyBorder="1" applyAlignment="1">
      <alignment vertical="top"/>
    </xf>
    <xf numFmtId="4" fontId="19" fillId="0" borderId="0" xfId="0" applyNumberFormat="1" applyFont="1" applyAlignment="1">
      <alignment wrapText="1"/>
    </xf>
    <xf numFmtId="3" fontId="19" fillId="0" borderId="0" xfId="0" applyNumberFormat="1" applyFont="1"/>
    <xf numFmtId="0" fontId="13" fillId="0" borderId="0" xfId="0" applyFont="1"/>
    <xf numFmtId="0" fontId="4" fillId="0" borderId="9" xfId="0" applyFont="1" applyBorder="1" applyAlignment="1">
      <alignment horizontal="center" vertical="top"/>
    </xf>
    <xf numFmtId="4" fontId="4" fillId="0" borderId="9" xfId="0" applyNumberFormat="1" applyFont="1" applyBorder="1" applyAlignment="1">
      <alignment vertical="top"/>
    </xf>
    <xf numFmtId="4" fontId="0" fillId="10" borderId="1" xfId="0" applyNumberFormat="1" applyFill="1" applyBorder="1" applyAlignment="1">
      <alignment vertical="top"/>
    </xf>
    <xf numFmtId="0" fontId="0" fillId="10" borderId="1" xfId="0" applyFill="1" applyBorder="1"/>
    <xf numFmtId="4" fontId="0" fillId="0" borderId="0" xfId="0" applyNumberFormat="1" applyAlignment="1">
      <alignment vertical="top"/>
    </xf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4" fillId="0" borderId="3" xfId="0" applyFont="1" applyBorder="1" applyAlignment="1">
      <alignment vertical="top" wrapText="1"/>
    </xf>
    <xf numFmtId="0" fontId="15" fillId="0" borderId="40" xfId="0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0" fillId="0" borderId="35" xfId="0" applyBorder="1"/>
    <xf numFmtId="0" fontId="15" fillId="0" borderId="0" xfId="0" applyFont="1" applyAlignment="1">
      <alignment horizontal="left" wrapText="1"/>
    </xf>
    <xf numFmtId="0" fontId="15" fillId="11" borderId="40" xfId="0" applyFont="1" applyFill="1" applyBorder="1" applyAlignment="1">
      <alignment wrapText="1"/>
    </xf>
    <xf numFmtId="0" fontId="15" fillId="11" borderId="32" xfId="0" applyFont="1" applyFill="1" applyBorder="1" applyAlignment="1">
      <alignment horizontal="center"/>
    </xf>
    <xf numFmtId="0" fontId="15" fillId="11" borderId="41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left"/>
    </xf>
    <xf numFmtId="4" fontId="15" fillId="11" borderId="1" xfId="0" applyNumberFormat="1" applyFont="1" applyFill="1" applyBorder="1"/>
    <xf numFmtId="0" fontId="15" fillId="11" borderId="1" xfId="0" applyFont="1" applyFill="1" applyBorder="1"/>
    <xf numFmtId="0" fontId="15" fillId="11" borderId="42" xfId="0" applyFont="1" applyFill="1" applyBorder="1"/>
    <xf numFmtId="4" fontId="0" fillId="0" borderId="0" xfId="0" applyNumberFormat="1" applyAlignment="1">
      <alignment horizontal="center"/>
    </xf>
    <xf numFmtId="0" fontId="27" fillId="0" borderId="0" xfId="0" applyFont="1" applyAlignment="1">
      <alignment horizontal="center" vertical="top" wrapText="1"/>
    </xf>
    <xf numFmtId="4" fontId="27" fillId="0" borderId="0" xfId="0" applyNumberFormat="1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0" fillId="4" borderId="2" xfId="0" applyFill="1" applyBorder="1" applyAlignment="1">
      <alignment horizontal="left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7" fillId="0" borderId="36" xfId="0" applyFont="1" applyBorder="1" applyAlignment="1">
      <alignment vertical="top"/>
    </xf>
    <xf numFmtId="0" fontId="1" fillId="2" borderId="0" xfId="0" applyFont="1" applyFill="1" applyAlignment="1">
      <alignment vertical="top"/>
    </xf>
    <xf numFmtId="4" fontId="0" fillId="2" borderId="42" xfId="0" applyNumberFormat="1" applyFill="1" applyBorder="1" applyAlignment="1">
      <alignment horizontal="center" vertical="top" wrapText="1"/>
    </xf>
    <xf numFmtId="4" fontId="0" fillId="2" borderId="9" xfId="0" applyNumberFormat="1" applyFill="1" applyBorder="1" applyAlignment="1">
      <alignment horizontal="center" vertical="top" wrapText="1"/>
    </xf>
    <xf numFmtId="4" fontId="0" fillId="2" borderId="3" xfId="0" applyNumberForma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top"/>
    </xf>
    <xf numFmtId="0" fontId="5" fillId="2" borderId="47" xfId="0" applyFont="1" applyFill="1" applyBorder="1" applyAlignment="1">
      <alignment horizontal="center" vertical="top"/>
    </xf>
    <xf numFmtId="0" fontId="5" fillId="2" borderId="39" xfId="0" applyFont="1" applyFill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0" fontId="5" fillId="6" borderId="8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25" fillId="0" borderId="5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9" fillId="0" borderId="0" xfId="0" applyFont="1" applyAlignment="1">
      <alignment horizontal="center" wrapText="1"/>
    </xf>
    <xf numFmtId="0" fontId="11" fillId="2" borderId="45" xfId="0" applyFont="1" applyFill="1" applyBorder="1" applyAlignment="1">
      <alignment horizontal="center" vertical="top" wrapText="1"/>
    </xf>
    <xf numFmtId="0" fontId="11" fillId="2" borderId="46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27" xfId="0" applyFont="1" applyFill="1" applyBorder="1" applyAlignment="1">
      <alignment horizontal="center" vertical="top"/>
    </xf>
    <xf numFmtId="0" fontId="38" fillId="0" borderId="2" xfId="2" applyFont="1" applyBorder="1" applyAlignment="1">
      <alignment horizontal="right" vertical="center" wrapText="1"/>
    </xf>
    <xf numFmtId="0" fontId="38" fillId="0" borderId="33" xfId="2" applyFont="1" applyBorder="1" applyAlignment="1">
      <alignment horizontal="right" vertical="center" wrapText="1"/>
    </xf>
    <xf numFmtId="0" fontId="38" fillId="0" borderId="34" xfId="2" applyFont="1" applyBorder="1" applyAlignment="1">
      <alignment horizontal="right" vertical="center" wrapText="1"/>
    </xf>
    <xf numFmtId="0" fontId="32" fillId="0" borderId="2" xfId="2" applyFont="1" applyBorder="1" applyAlignment="1">
      <alignment horizontal="left" vertical="center"/>
    </xf>
    <xf numFmtId="0" fontId="32" fillId="0" borderId="33" xfId="2" applyFont="1" applyBorder="1" applyAlignment="1">
      <alignment horizontal="left" vertical="center"/>
    </xf>
    <xf numFmtId="0" fontId="32" fillId="0" borderId="34" xfId="2" applyFont="1" applyBorder="1" applyAlignment="1">
      <alignment horizontal="left" vertical="center"/>
    </xf>
    <xf numFmtId="0" fontId="33" fillId="0" borderId="4" xfId="2" applyFont="1" applyBorder="1" applyAlignment="1">
      <alignment horizontal="center" vertical="center" wrapText="1"/>
    </xf>
    <xf numFmtId="0" fontId="33" fillId="9" borderId="50" xfId="3" applyFont="1" applyFill="1" applyBorder="1" applyAlignment="1" applyProtection="1">
      <alignment horizontal="center" vertical="center"/>
      <protection locked="0"/>
    </xf>
    <xf numFmtId="0" fontId="33" fillId="9" borderId="49" xfId="3" applyFont="1" applyFill="1" applyBorder="1" applyAlignment="1" applyProtection="1">
      <alignment horizontal="center" vertical="center"/>
      <protection locked="0"/>
    </xf>
    <xf numFmtId="0" fontId="33" fillId="9" borderId="44" xfId="3" applyFont="1" applyFill="1" applyBorder="1" applyAlignment="1" applyProtection="1">
      <alignment horizontal="center" vertical="center" wrapText="1"/>
      <protection locked="0"/>
    </xf>
    <xf numFmtId="0" fontId="33" fillId="9" borderId="42" xfId="3" applyFont="1" applyFill="1" applyBorder="1" applyAlignment="1" applyProtection="1">
      <alignment horizontal="center" vertical="center" wrapText="1"/>
      <protection locked="0"/>
    </xf>
    <xf numFmtId="165" fontId="33" fillId="9" borderId="30" xfId="4" applyFont="1" applyFill="1" applyBorder="1" applyAlignment="1" applyProtection="1">
      <alignment horizontal="center" vertical="center"/>
      <protection locked="0"/>
    </xf>
    <xf numFmtId="165" fontId="33" fillId="9" borderId="31" xfId="4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/>
    <xf numFmtId="0" fontId="17" fillId="0" borderId="0" xfId="0" applyFont="1" applyFill="1" applyBorder="1"/>
    <xf numFmtId="3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13" fillId="0" borderId="0" xfId="0" applyNumberFormat="1" applyFont="1" applyFill="1" applyBorder="1"/>
    <xf numFmtId="0" fontId="13" fillId="4" borderId="4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4" fontId="0" fillId="4" borderId="1" xfId="0" applyNumberFormat="1" applyFill="1" applyBorder="1"/>
    <xf numFmtId="0" fontId="0" fillId="4" borderId="1" xfId="0" applyFill="1" applyBorder="1"/>
    <xf numFmtId="0" fontId="13" fillId="4" borderId="1" xfId="0" applyFont="1" applyFill="1" applyBorder="1"/>
    <xf numFmtId="0" fontId="13" fillId="4" borderId="42" xfId="0" applyFont="1" applyFill="1" applyBorder="1"/>
    <xf numFmtId="4" fontId="0" fillId="4" borderId="42" xfId="0" applyNumberFormat="1" applyFill="1" applyBorder="1"/>
    <xf numFmtId="0" fontId="13" fillId="4" borderId="4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3" xfId="0" applyFill="1" applyBorder="1"/>
    <xf numFmtId="0" fontId="0" fillId="4" borderId="34" xfId="0" applyFill="1" applyBorder="1"/>
    <xf numFmtId="0" fontId="13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19" fillId="0" borderId="2" xfId="0" applyFont="1" applyFill="1" applyBorder="1" applyAlignment="1">
      <alignment horizontal="left"/>
    </xf>
    <xf numFmtId="0" fontId="19" fillId="0" borderId="33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9" fillId="0" borderId="1" xfId="0" applyFont="1" applyFill="1" applyBorder="1"/>
    <xf numFmtId="4" fontId="19" fillId="0" borderId="1" xfId="0" applyNumberFormat="1" applyFont="1" applyFill="1" applyBorder="1"/>
    <xf numFmtId="4" fontId="19" fillId="0" borderId="42" xfId="0" applyNumberFormat="1" applyFont="1" applyFill="1" applyBorder="1"/>
    <xf numFmtId="0" fontId="0" fillId="0" borderId="2" xfId="0" applyFill="1" applyBorder="1"/>
    <xf numFmtId="0" fontId="19" fillId="0" borderId="48" xfId="0" applyFont="1" applyFill="1" applyBorder="1" applyAlignment="1">
      <alignment horizontal="center"/>
    </xf>
    <xf numFmtId="0" fontId="0" fillId="0" borderId="3" xfId="0" applyFill="1" applyBorder="1"/>
    <xf numFmtId="4" fontId="19" fillId="0" borderId="33" xfId="0" applyNumberFormat="1" applyFont="1" applyFill="1" applyBorder="1"/>
    <xf numFmtId="4" fontId="19" fillId="0" borderId="48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 xr:uid="{C0763CE8-DB5A-41E8-BDD2-2C5F80C0B74A}"/>
    <cellStyle name="Обычный 3" xfId="2" xr:uid="{5ECDC201-8CA8-4A3B-BDAE-96D8D8F662E2}"/>
    <cellStyle name="Обычный 3 2" xfId="3" xr:uid="{E091C3BA-9C18-423C-9B2D-058C5F66A0F3}"/>
    <cellStyle name="Финансовый 2" xfId="4" xr:uid="{2AB6E99D-FAB4-492F-908D-C63C2979E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6;&#1072;&#1079;&#1076;&#1086;&#1083;&#1100;&#1077;\&#1055;&#1056;&#1054;&#1058;&#1054;&#1050;&#1054;&#1051;&#1067;\&#1057;&#1086;&#1073;&#1088;&#1072;&#1085;&#1080;&#1077;%2025.08.24_&#1055;&#1088;&#1086;&#1090;&#1086;&#1082;&#1086;&#1083;%209%20&#1086;&#1090;%2025.08.24\&#1057;&#1084;&#1077;&#1090;&#1072;+&#1060;&#1069;&#1054;%202024-2025%20&#1087;&#1086;%20&#1080;&#1090;&#1086;&#1075;&#1091;%20&#1054;&#1057;&#1057;%2025.08.24%20&#1087;&#1086;%20&#1055;&#1088;&#1086;&#1090;&#1086;&#1082;&#1086;&#1083;%209%20&#1086;&#1090;%2025.08.24.xlsx" TargetMode="External"/><Relationship Id="rId1" Type="http://schemas.openxmlformats.org/officeDocument/2006/relationships/externalLinkPath" Target="/Users/User/Desktop/&#1056;&#1072;&#1079;&#1076;&#1086;&#1083;&#1100;&#1077;/&#1055;&#1056;&#1054;&#1058;&#1054;&#1050;&#1054;&#1051;&#1067;/&#1057;&#1086;&#1073;&#1088;&#1072;&#1085;&#1080;&#1077;%2025.08.24_&#1055;&#1088;&#1086;&#1090;&#1086;&#1082;&#1086;&#1083;%209%20&#1086;&#1090;%2025.08.24/&#1057;&#1084;&#1077;&#1090;&#1072;+&#1060;&#1069;&#1054;%202024-2025%20&#1087;&#1086;%20&#1080;&#1090;&#1086;&#1075;&#1091;%20&#1054;&#1057;&#1057;%2025.08.24%20&#1087;&#1086;%20&#1055;&#1088;&#1086;&#1090;&#1086;&#1082;&#1086;&#1083;%209%20&#1086;&#1090;%2025.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мета 2024-2025"/>
      <sheetName val="ФЭО к смете 2024-2025_v2"/>
    </sheetNames>
    <sheetDataSet>
      <sheetData sheetId="0">
        <row r="64">
          <cell r="C64">
            <v>1640.9268269604802</v>
          </cell>
          <cell r="D64">
            <v>551.91674185899365</v>
          </cell>
          <cell r="E64">
            <v>2192.8435688194741</v>
          </cell>
        </row>
        <row r="65">
          <cell r="C65">
            <v>1079.7401089887953</v>
          </cell>
          <cell r="D65">
            <v>406.0801197614785</v>
          </cell>
          <cell r="E65">
            <v>1485.8202287502738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CB55-E7E0-4EC0-A0AD-88F078F400A3}">
  <dimension ref="A1:S70"/>
  <sheetViews>
    <sheetView tabSelected="1" topLeftCell="G1" zoomScale="90" zoomScaleNormal="90" workbookViewId="0">
      <selection activeCell="P16" sqref="P16"/>
    </sheetView>
  </sheetViews>
  <sheetFormatPr defaultRowHeight="14.4" x14ac:dyDescent="0.3"/>
  <cols>
    <col min="1" max="1" width="9.44140625" customWidth="1"/>
    <col min="2" max="2" width="32.88671875" customWidth="1"/>
    <col min="5" max="5" width="15" customWidth="1"/>
    <col min="6" max="6" width="19" customWidth="1"/>
    <col min="7" max="7" width="86.109375" customWidth="1" collapsed="1"/>
    <col min="8" max="8" width="1.88671875" customWidth="1"/>
    <col min="9" max="9" width="14.77734375" customWidth="1"/>
    <col min="10" max="10" width="11.6640625" customWidth="1"/>
    <col min="11" max="11" width="10.21875" customWidth="1"/>
    <col min="12" max="12" width="12.77734375" customWidth="1"/>
    <col min="13" max="13" width="13.6640625" customWidth="1"/>
    <col min="14" max="14" width="12.44140625" customWidth="1"/>
    <col min="15" max="15" width="10.88671875" bestFit="1" customWidth="1"/>
    <col min="16" max="17" width="9.77734375" customWidth="1"/>
  </cols>
  <sheetData>
    <row r="1" spans="1:19" x14ac:dyDescent="0.3">
      <c r="A1" s="196" t="s">
        <v>65</v>
      </c>
      <c r="B1" s="196"/>
      <c r="C1" s="196"/>
      <c r="D1" s="196"/>
      <c r="E1" s="196"/>
      <c r="F1" s="196"/>
      <c r="G1" s="196"/>
      <c r="H1" s="74"/>
      <c r="I1" s="164"/>
      <c r="J1" s="165"/>
      <c r="K1" s="165"/>
      <c r="L1" s="168"/>
      <c r="M1" s="169" t="s">
        <v>15</v>
      </c>
      <c r="N1" s="169" t="s">
        <v>16</v>
      </c>
      <c r="O1" s="170" t="s">
        <v>17</v>
      </c>
    </row>
    <row r="2" spans="1:19" x14ac:dyDescent="0.3">
      <c r="A2" s="199" t="s">
        <v>29</v>
      </c>
      <c r="B2" s="199"/>
      <c r="C2" s="199"/>
      <c r="D2" s="199"/>
      <c r="E2" s="199"/>
      <c r="F2" s="199"/>
      <c r="G2" s="199"/>
      <c r="H2" s="75"/>
      <c r="I2" s="166"/>
      <c r="J2" s="167"/>
      <c r="K2" s="167"/>
      <c r="L2" s="171" t="s">
        <v>45</v>
      </c>
      <c r="M2" s="172">
        <v>1064.51</v>
      </c>
      <c r="N2" s="173">
        <v>1783.25</v>
      </c>
      <c r="O2" s="172">
        <f>SUM(M2:N2)</f>
        <v>2847.76</v>
      </c>
    </row>
    <row r="3" spans="1:19" x14ac:dyDescent="0.3">
      <c r="A3" s="104" t="s">
        <v>66</v>
      </c>
      <c r="C3" s="2"/>
      <c r="D3" s="2"/>
      <c r="E3" s="1"/>
      <c r="F3" s="3"/>
      <c r="G3" s="16"/>
      <c r="I3" s="166"/>
      <c r="J3" s="167"/>
      <c r="K3" s="167"/>
      <c r="L3" s="171" t="s">
        <v>44</v>
      </c>
      <c r="M3" s="174">
        <v>83</v>
      </c>
      <c r="N3" s="174">
        <v>158</v>
      </c>
      <c r="O3" s="174">
        <f>M3+N3</f>
        <v>241</v>
      </c>
    </row>
    <row r="4" spans="1:19" ht="14.4" customHeight="1" x14ac:dyDescent="0.3">
      <c r="A4" s="104" t="s">
        <v>67</v>
      </c>
      <c r="C4" s="2"/>
      <c r="D4" s="2"/>
      <c r="E4" s="1"/>
      <c r="F4" s="3"/>
      <c r="G4" s="16"/>
      <c r="I4" s="232" t="s">
        <v>30</v>
      </c>
      <c r="J4" s="180" t="s">
        <v>33</v>
      </c>
      <c r="K4" s="181"/>
      <c r="L4" s="182"/>
      <c r="M4" s="246" t="s">
        <v>141</v>
      </c>
      <c r="N4" s="247"/>
      <c r="O4" s="248"/>
      <c r="P4" s="225"/>
      <c r="Q4" s="225"/>
      <c r="R4" s="225"/>
      <c r="S4" s="225"/>
    </row>
    <row r="5" spans="1:19" ht="14.4" customHeight="1" x14ac:dyDescent="0.3">
      <c r="A5" s="196" t="s">
        <v>57</v>
      </c>
      <c r="B5" s="196"/>
      <c r="C5" s="196"/>
      <c r="D5" s="196"/>
      <c r="E5" s="196"/>
      <c r="F5" s="196"/>
      <c r="G5" s="16"/>
      <c r="I5" s="233"/>
      <c r="J5" s="234" t="s">
        <v>31</v>
      </c>
      <c r="K5" s="234" t="s">
        <v>32</v>
      </c>
      <c r="L5" s="235" t="s">
        <v>17</v>
      </c>
      <c r="M5" s="249" t="s">
        <v>31</v>
      </c>
      <c r="N5" s="249" t="s">
        <v>32</v>
      </c>
      <c r="O5" s="249" t="s">
        <v>38</v>
      </c>
      <c r="P5" s="225"/>
      <c r="Q5" s="225"/>
      <c r="R5" s="225"/>
      <c r="S5" s="225"/>
    </row>
    <row r="6" spans="1:19" ht="14.4" customHeight="1" x14ac:dyDescent="0.3">
      <c r="A6" s="104" t="s">
        <v>55</v>
      </c>
      <c r="C6" s="2"/>
      <c r="D6" s="2"/>
      <c r="E6" s="105"/>
      <c r="F6" s="3"/>
      <c r="G6" s="16"/>
      <c r="I6" s="236" t="s">
        <v>27</v>
      </c>
      <c r="J6" s="234">
        <f>'[1]Смета 2024-2025'!C64</f>
        <v>1640.9268269604802</v>
      </c>
      <c r="K6" s="234">
        <f>'[1]Смета 2024-2025'!D64</f>
        <v>551.91674185899365</v>
      </c>
      <c r="L6" s="234">
        <f>'[1]Смета 2024-2025'!E64</f>
        <v>2192.8435688194741</v>
      </c>
      <c r="M6" s="250">
        <f>I47</f>
        <v>2658.0359723669567</v>
      </c>
      <c r="N6" s="250">
        <f>I60</f>
        <v>250.02106919122394</v>
      </c>
      <c r="O6" s="250">
        <f>SUM(M6:N6)</f>
        <v>2908.0570415581806</v>
      </c>
      <c r="P6" s="225"/>
      <c r="Q6" s="225"/>
      <c r="R6" s="225"/>
      <c r="S6" s="225"/>
    </row>
    <row r="7" spans="1:19" ht="14.4" customHeight="1" x14ac:dyDescent="0.3">
      <c r="A7" s="104" t="s">
        <v>68</v>
      </c>
      <c r="C7" s="2"/>
      <c r="D7" s="2"/>
      <c r="E7" s="1"/>
      <c r="F7" s="3"/>
      <c r="G7" s="16"/>
      <c r="I7" s="237" t="s">
        <v>28</v>
      </c>
      <c r="J7" s="238">
        <f>'[1]Смета 2024-2025'!C65</f>
        <v>1079.7401089887953</v>
      </c>
      <c r="K7" s="238">
        <f>'[1]Смета 2024-2025'!D65</f>
        <v>406.0801197614785</v>
      </c>
      <c r="L7" s="238">
        <f>'[1]Смета 2024-2025'!E65</f>
        <v>1485.8202287502738</v>
      </c>
      <c r="M7" s="251">
        <f>J47</f>
        <v>1830.5048238080192</v>
      </c>
      <c r="N7" s="251">
        <f>J60</f>
        <v>8450.0939697940539</v>
      </c>
      <c r="O7" s="251">
        <f>SUM(M7:N7)</f>
        <v>10280.598793602074</v>
      </c>
      <c r="P7" s="225"/>
      <c r="Q7" s="225"/>
      <c r="R7" s="225"/>
      <c r="S7" s="225"/>
    </row>
    <row r="8" spans="1:19" ht="14.4" customHeight="1" x14ac:dyDescent="0.3">
      <c r="A8" s="104" t="s">
        <v>56</v>
      </c>
      <c r="C8" s="2"/>
      <c r="D8" s="2"/>
      <c r="E8" s="1"/>
      <c r="F8" s="3"/>
      <c r="G8" s="16"/>
      <c r="I8" s="239" t="s">
        <v>62</v>
      </c>
      <c r="J8" s="240" t="s">
        <v>146</v>
      </c>
      <c r="K8" s="241"/>
      <c r="L8" s="242">
        <v>314.47000000000003</v>
      </c>
      <c r="M8" s="252" t="s">
        <v>146</v>
      </c>
      <c r="N8" s="255"/>
      <c r="O8" s="255">
        <f>J65</f>
        <v>380.41666666666674</v>
      </c>
      <c r="P8" s="257" t="s">
        <v>58</v>
      </c>
      <c r="Q8" s="257"/>
      <c r="R8" s="257"/>
      <c r="S8" s="225"/>
    </row>
    <row r="9" spans="1:19" ht="14.4" customHeight="1" x14ac:dyDescent="0.3">
      <c r="C9" s="2"/>
      <c r="D9" s="2"/>
      <c r="E9" s="1"/>
      <c r="F9" s="3"/>
      <c r="G9" s="16"/>
      <c r="I9" s="243"/>
      <c r="J9" s="235" t="s">
        <v>145</v>
      </c>
      <c r="K9" s="244"/>
      <c r="L9" s="245">
        <v>625</v>
      </c>
      <c r="M9" s="254" t="s">
        <v>145</v>
      </c>
      <c r="N9" s="253"/>
      <c r="O9" s="256">
        <f>J68</f>
        <v>416.66666666666669</v>
      </c>
      <c r="P9" s="257"/>
      <c r="Q9" s="257"/>
      <c r="R9" s="257"/>
      <c r="S9" s="225"/>
    </row>
    <row r="10" spans="1:19" x14ac:dyDescent="0.3">
      <c r="A10" s="197" t="s">
        <v>69</v>
      </c>
      <c r="B10" s="197"/>
      <c r="C10" s="197"/>
      <c r="D10" s="197"/>
      <c r="E10" s="197"/>
      <c r="F10" s="197"/>
      <c r="G10" s="197"/>
      <c r="M10" s="161"/>
      <c r="N10" s="162"/>
    </row>
    <row r="11" spans="1:19" ht="14.4" customHeight="1" x14ac:dyDescent="0.3">
      <c r="A11" s="106"/>
      <c r="C11" s="2"/>
      <c r="D11" s="2"/>
      <c r="E11" s="1"/>
      <c r="F11" s="3"/>
      <c r="G11" s="16"/>
      <c r="M11" s="162"/>
      <c r="N11" s="161"/>
    </row>
    <row r="12" spans="1:19" ht="15" customHeight="1" x14ac:dyDescent="0.3">
      <c r="B12" s="1"/>
      <c r="C12" s="2"/>
      <c r="D12" s="2"/>
      <c r="E12" s="1"/>
      <c r="F12" s="3"/>
      <c r="G12" s="103" t="s">
        <v>70</v>
      </c>
    </row>
    <row r="13" spans="1:19" x14ac:dyDescent="0.3">
      <c r="A13" s="5"/>
      <c r="C13" s="6"/>
      <c r="D13" s="6"/>
      <c r="E13" s="5"/>
      <c r="F13" s="4"/>
      <c r="G13" s="107"/>
      <c r="L13" s="155"/>
      <c r="M13" s="155"/>
      <c r="N13" s="23"/>
      <c r="O13" s="155"/>
    </row>
    <row r="14" spans="1:19" ht="18" x14ac:dyDescent="0.3">
      <c r="A14" s="108" t="s">
        <v>71</v>
      </c>
      <c r="B14" s="108"/>
      <c r="C14" s="109"/>
      <c r="D14" s="109"/>
      <c r="E14" s="108"/>
      <c r="F14" s="108"/>
      <c r="G14" s="108"/>
      <c r="L14" s="22"/>
      <c r="M14" s="22"/>
      <c r="N14" s="22"/>
      <c r="O14" s="175"/>
    </row>
    <row r="15" spans="1:19" ht="18.600000000000001" thickBot="1" x14ac:dyDescent="0.35">
      <c r="A15" s="192" t="s">
        <v>0</v>
      </c>
      <c r="B15" s="192"/>
      <c r="C15" s="8"/>
      <c r="D15" s="8"/>
      <c r="E15" s="7"/>
      <c r="F15" s="4"/>
      <c r="G15" s="17"/>
      <c r="I15" s="22" t="s">
        <v>27</v>
      </c>
      <c r="J15" s="22" t="s">
        <v>28</v>
      </c>
      <c r="L15" s="176"/>
      <c r="M15" s="188"/>
      <c r="N15" s="177"/>
      <c r="O15" s="177"/>
      <c r="P15" s="178"/>
      <c r="Q15" s="82"/>
    </row>
    <row r="16" spans="1:19" s="22" customFormat="1" ht="18.600000000000001" customHeight="1" x14ac:dyDescent="0.3">
      <c r="A16" s="189" t="s">
        <v>1</v>
      </c>
      <c r="B16" s="209" t="s">
        <v>3</v>
      </c>
      <c r="C16" s="209" t="s">
        <v>22</v>
      </c>
      <c r="D16" s="206" t="s">
        <v>23</v>
      </c>
      <c r="E16" s="206" t="s">
        <v>63</v>
      </c>
      <c r="F16" s="203" t="s">
        <v>60</v>
      </c>
      <c r="G16" s="200" t="s">
        <v>13</v>
      </c>
      <c r="I16" s="185" t="s">
        <v>14</v>
      </c>
      <c r="J16" s="185" t="s">
        <v>14</v>
      </c>
      <c r="L16" s="188"/>
      <c r="M16" s="188"/>
      <c r="N16" s="177"/>
      <c r="O16" s="177"/>
      <c r="P16" s="179"/>
      <c r="Q16" s="82"/>
    </row>
    <row r="17" spans="1:17" s="22" customFormat="1" ht="19.2" customHeight="1" x14ac:dyDescent="0.3">
      <c r="A17" s="190"/>
      <c r="B17" s="210"/>
      <c r="C17" s="210"/>
      <c r="D17" s="207"/>
      <c r="E17" s="207"/>
      <c r="F17" s="204"/>
      <c r="G17" s="201"/>
      <c r="I17" s="186"/>
      <c r="J17" s="186"/>
      <c r="L17" s="188"/>
      <c r="M17" s="188"/>
      <c r="N17" s="177"/>
      <c r="O17" s="177"/>
      <c r="P17" s="179"/>
      <c r="Q17" s="82"/>
    </row>
    <row r="18" spans="1:17" s="22" customFormat="1" ht="19.2" customHeight="1" thickBot="1" x14ac:dyDescent="0.35">
      <c r="A18" s="191"/>
      <c r="B18" s="211"/>
      <c r="C18" s="211"/>
      <c r="D18" s="208"/>
      <c r="E18" s="208"/>
      <c r="F18" s="205"/>
      <c r="G18" s="202"/>
      <c r="I18" s="187"/>
      <c r="J18" s="187"/>
      <c r="L18" s="188"/>
      <c r="M18" s="188"/>
      <c r="N18" s="177"/>
      <c r="O18" s="177"/>
      <c r="P18" s="179"/>
      <c r="Q18" s="82"/>
    </row>
    <row r="19" spans="1:17" ht="72" customHeight="1" thickBot="1" x14ac:dyDescent="0.35">
      <c r="A19" s="183">
        <v>1</v>
      </c>
      <c r="B19" s="90" t="s">
        <v>21</v>
      </c>
      <c r="C19" s="91" t="s">
        <v>6</v>
      </c>
      <c r="D19" s="91">
        <v>12</v>
      </c>
      <c r="E19" s="92" t="s">
        <v>74</v>
      </c>
      <c r="F19" s="93">
        <f>28500*1.15*12</f>
        <v>393300</v>
      </c>
      <c r="G19" s="94" t="s">
        <v>72</v>
      </c>
      <c r="I19" s="10">
        <f>F19/O$2</f>
        <v>138.10854847318592</v>
      </c>
      <c r="J19" s="10">
        <f>F19/O$2</f>
        <v>138.10854847318592</v>
      </c>
      <c r="L19" s="82"/>
      <c r="M19" s="82"/>
      <c r="N19" s="82"/>
      <c r="O19" s="82"/>
      <c r="P19" s="82"/>
      <c r="Q19" s="82"/>
    </row>
    <row r="20" spans="1:17" ht="44.4" thickTop="1" thickBot="1" x14ac:dyDescent="0.35">
      <c r="A20" s="37">
        <v>2</v>
      </c>
      <c r="B20" s="43" t="s">
        <v>73</v>
      </c>
      <c r="C20" s="39" t="s">
        <v>6</v>
      </c>
      <c r="D20" s="39">
        <v>12</v>
      </c>
      <c r="E20" s="67" t="s">
        <v>75</v>
      </c>
      <c r="F20" s="41">
        <f>28750*2*1.15*12+10000*2</f>
        <v>813500</v>
      </c>
      <c r="G20" s="42" t="s">
        <v>162</v>
      </c>
      <c r="I20" s="10">
        <f>F20/O$2</f>
        <v>285.66311767845605</v>
      </c>
      <c r="J20" s="10">
        <f>F20/O$2</f>
        <v>285.66311767845605</v>
      </c>
      <c r="L20" s="82"/>
      <c r="M20" s="82"/>
      <c r="N20" s="82"/>
      <c r="O20" s="82"/>
      <c r="P20" s="82"/>
      <c r="Q20" s="82"/>
    </row>
    <row r="21" spans="1:17" ht="19.2" customHeight="1" thickTop="1" thickBot="1" x14ac:dyDescent="0.35">
      <c r="A21" s="37">
        <f>A20+1</f>
        <v>3</v>
      </c>
      <c r="B21" s="38" t="s">
        <v>7</v>
      </c>
      <c r="C21" s="39" t="s">
        <v>6</v>
      </c>
      <c r="D21" s="39">
        <v>12</v>
      </c>
      <c r="E21" s="65">
        <v>0.30199999999999999</v>
      </c>
      <c r="F21" s="41">
        <f>(F19+F20)*E21</f>
        <v>364453.6</v>
      </c>
      <c r="G21" s="42" t="s">
        <v>34</v>
      </c>
      <c r="I21" s="10">
        <f t="shared" ref="I21:I22" si="0">F21/O$2</f>
        <v>127.97904317779586</v>
      </c>
      <c r="J21" s="10">
        <f t="shared" ref="J21:J22" si="1">F21/O$2</f>
        <v>127.97904317779586</v>
      </c>
      <c r="L21" s="81"/>
      <c r="M21" s="81"/>
      <c r="N21" s="81"/>
      <c r="O21" s="81"/>
      <c r="P21" s="81"/>
      <c r="Q21" s="81"/>
    </row>
    <row r="22" spans="1:17" ht="116.4" thickTop="1" thickBot="1" x14ac:dyDescent="0.35">
      <c r="A22" s="37">
        <f t="shared" ref="A22:A44" si="2">A21+1</f>
        <v>4</v>
      </c>
      <c r="B22" s="46" t="s">
        <v>41</v>
      </c>
      <c r="C22" s="47" t="s">
        <v>6</v>
      </c>
      <c r="D22" s="47">
        <v>12</v>
      </c>
      <c r="E22" s="68" t="s">
        <v>75</v>
      </c>
      <c r="F22" s="49">
        <f>50000*1.15*12</f>
        <v>689999.99999999988</v>
      </c>
      <c r="G22" s="50" t="s">
        <v>147</v>
      </c>
      <c r="I22" s="10">
        <f t="shared" si="0"/>
        <v>242.29569907576476</v>
      </c>
      <c r="J22" s="10">
        <f t="shared" si="1"/>
        <v>242.29569907576476</v>
      </c>
      <c r="L22" s="81"/>
      <c r="M22" s="81"/>
      <c r="N22" s="81"/>
      <c r="O22" s="81"/>
      <c r="P22" s="81"/>
      <c r="Q22" s="81"/>
    </row>
    <row r="23" spans="1:17" ht="195" customHeight="1" thickTop="1" thickBot="1" x14ac:dyDescent="0.35">
      <c r="A23" s="37">
        <f t="shared" si="2"/>
        <v>5</v>
      </c>
      <c r="B23" s="43" t="s">
        <v>98</v>
      </c>
      <c r="C23" s="39" t="s">
        <v>6</v>
      </c>
      <c r="D23" s="39">
        <v>12</v>
      </c>
      <c r="E23" s="40">
        <f>(20000+5000)</f>
        <v>25000</v>
      </c>
      <c r="F23" s="41">
        <f t="shared" ref="F23:F44" si="3">D23*E23</f>
        <v>300000</v>
      </c>
      <c r="G23" s="42" t="s">
        <v>161</v>
      </c>
      <c r="I23" s="10">
        <f t="shared" ref="I23" si="4">F23/O$2</f>
        <v>105.34595611989774</v>
      </c>
      <c r="J23" s="10">
        <f t="shared" ref="J23" si="5">F23/O$2</f>
        <v>105.34595611989774</v>
      </c>
    </row>
    <row r="24" spans="1:17" ht="30" thickTop="1" thickBot="1" x14ac:dyDescent="0.35">
      <c r="A24" s="37">
        <f t="shared" si="2"/>
        <v>6</v>
      </c>
      <c r="B24" s="43" t="s">
        <v>96</v>
      </c>
      <c r="C24" s="39" t="s">
        <v>10</v>
      </c>
      <c r="D24" s="39">
        <v>1</v>
      </c>
      <c r="E24" s="40">
        <v>25000</v>
      </c>
      <c r="F24" s="41">
        <f t="shared" si="3"/>
        <v>25000</v>
      </c>
      <c r="G24" s="42" t="s">
        <v>97</v>
      </c>
      <c r="I24" s="10">
        <f t="shared" ref="I24:I25" si="6">F24/O$2</f>
        <v>8.7788296766581446</v>
      </c>
      <c r="J24" s="10">
        <f t="shared" ref="J24:J25" si="7">F24/O$2</f>
        <v>8.7788296766581446</v>
      </c>
    </row>
    <row r="25" spans="1:17" ht="30" thickTop="1" thickBot="1" x14ac:dyDescent="0.35">
      <c r="A25" s="37">
        <f t="shared" si="2"/>
        <v>7</v>
      </c>
      <c r="B25" s="43" t="s">
        <v>8</v>
      </c>
      <c r="C25" s="39" t="s">
        <v>9</v>
      </c>
      <c r="D25" s="39">
        <v>12</v>
      </c>
      <c r="E25" s="40">
        <v>5000</v>
      </c>
      <c r="F25" s="41">
        <f>D25*E25+2500</f>
        <v>62500</v>
      </c>
      <c r="G25" s="42" t="s">
        <v>77</v>
      </c>
      <c r="I25" s="10">
        <f t="shared" si="6"/>
        <v>21.947074191645363</v>
      </c>
      <c r="J25" s="10">
        <f t="shared" si="7"/>
        <v>21.947074191645363</v>
      </c>
    </row>
    <row r="26" spans="1:17" ht="102" thickTop="1" thickBot="1" x14ac:dyDescent="0.35">
      <c r="A26" s="37">
        <f t="shared" si="2"/>
        <v>8</v>
      </c>
      <c r="B26" s="43" t="s">
        <v>42</v>
      </c>
      <c r="C26" s="39" t="s">
        <v>10</v>
      </c>
      <c r="D26" s="39">
        <v>1</v>
      </c>
      <c r="E26" s="40">
        <f>700*200</f>
        <v>140000</v>
      </c>
      <c r="F26" s="41">
        <f>E26</f>
        <v>140000</v>
      </c>
      <c r="G26" s="42" t="s">
        <v>159</v>
      </c>
      <c r="I26" s="10">
        <f t="shared" ref="I26" si="8">F26/O$2</f>
        <v>49.161446189285613</v>
      </c>
      <c r="J26" s="10">
        <f t="shared" ref="J26" si="9">F26/O$2</f>
        <v>49.161446189285613</v>
      </c>
    </row>
    <row r="27" spans="1:17" ht="87.6" thickTop="1" thickBot="1" x14ac:dyDescent="0.35">
      <c r="A27" s="37">
        <f t="shared" si="2"/>
        <v>9</v>
      </c>
      <c r="B27" s="43" t="s">
        <v>48</v>
      </c>
      <c r="C27" s="39" t="s">
        <v>76</v>
      </c>
      <c r="D27" s="39">
        <v>250</v>
      </c>
      <c r="E27" s="40">
        <v>400</v>
      </c>
      <c r="F27" s="41">
        <f t="shared" si="3"/>
        <v>100000</v>
      </c>
      <c r="G27" s="42" t="s">
        <v>158</v>
      </c>
      <c r="I27" s="10">
        <f t="shared" ref="I27:I29" si="10">F27/O$2</f>
        <v>35.115318706632578</v>
      </c>
      <c r="J27" s="10">
        <f t="shared" ref="J27:J29" si="11">F27/O$2</f>
        <v>35.115318706632578</v>
      </c>
    </row>
    <row r="28" spans="1:17" ht="145.19999999999999" thickTop="1" thickBot="1" x14ac:dyDescent="0.35">
      <c r="A28" s="37">
        <f t="shared" si="2"/>
        <v>10</v>
      </c>
      <c r="B28" s="38" t="s">
        <v>20</v>
      </c>
      <c r="C28" s="39" t="s">
        <v>18</v>
      </c>
      <c r="D28" s="39">
        <v>15</v>
      </c>
      <c r="E28" s="40">
        <f>100000</f>
        <v>100000</v>
      </c>
      <c r="F28" s="41">
        <f t="shared" si="3"/>
        <v>1500000</v>
      </c>
      <c r="G28" s="42" t="s">
        <v>160</v>
      </c>
      <c r="I28" s="10">
        <f t="shared" si="10"/>
        <v>526.72978059948866</v>
      </c>
      <c r="J28" s="10">
        <f t="shared" si="11"/>
        <v>526.72978059948866</v>
      </c>
    </row>
    <row r="29" spans="1:17" ht="62.4" customHeight="1" thickTop="1" thickBot="1" x14ac:dyDescent="0.35">
      <c r="A29" s="37">
        <f t="shared" si="2"/>
        <v>11</v>
      </c>
      <c r="B29" s="43" t="s">
        <v>78</v>
      </c>
      <c r="C29" s="39" t="s">
        <v>9</v>
      </c>
      <c r="D29" s="39">
        <v>12</v>
      </c>
      <c r="E29" s="40">
        <v>10000</v>
      </c>
      <c r="F29" s="41">
        <f t="shared" si="3"/>
        <v>120000</v>
      </c>
      <c r="G29" s="42" t="s">
        <v>46</v>
      </c>
      <c r="I29" s="10">
        <f t="shared" si="10"/>
        <v>42.138382447959096</v>
      </c>
      <c r="J29" s="10">
        <f t="shared" si="11"/>
        <v>42.138382447959096</v>
      </c>
    </row>
    <row r="30" spans="1:17" ht="77.400000000000006" customHeight="1" thickTop="1" thickBot="1" x14ac:dyDescent="0.35">
      <c r="A30" s="37">
        <f t="shared" si="2"/>
        <v>12</v>
      </c>
      <c r="B30" s="46" t="s">
        <v>131</v>
      </c>
      <c r="C30" s="47" t="s">
        <v>18</v>
      </c>
      <c r="D30" s="47">
        <v>10</v>
      </c>
      <c r="E30" s="48">
        <v>10000</v>
      </c>
      <c r="F30" s="41">
        <f t="shared" si="3"/>
        <v>100000</v>
      </c>
      <c r="G30" s="50" t="s">
        <v>132</v>
      </c>
      <c r="I30" s="10">
        <f>F30/M$2</f>
        <v>93.93993480568524</v>
      </c>
      <c r="J30" s="28"/>
    </row>
    <row r="31" spans="1:17" ht="29.4" thickTop="1" x14ac:dyDescent="0.3">
      <c r="A31" s="123" t="s">
        <v>128</v>
      </c>
      <c r="B31" s="18" t="s">
        <v>61</v>
      </c>
      <c r="C31" s="24" t="s">
        <v>9</v>
      </c>
      <c r="D31" s="24">
        <v>12</v>
      </c>
      <c r="E31" s="25">
        <v>25000</v>
      </c>
      <c r="F31" s="26">
        <f>D31*E31</f>
        <v>300000</v>
      </c>
      <c r="G31" s="30" t="s">
        <v>80</v>
      </c>
      <c r="I31" s="10">
        <f>F31/M$2</f>
        <v>281.81980441705576</v>
      </c>
      <c r="J31" s="28"/>
    </row>
    <row r="32" spans="1:17" x14ac:dyDescent="0.3">
      <c r="A32" s="123" t="s">
        <v>129</v>
      </c>
      <c r="B32" s="18" t="s">
        <v>19</v>
      </c>
      <c r="C32" s="24" t="s">
        <v>10</v>
      </c>
      <c r="D32" s="24">
        <v>12</v>
      </c>
      <c r="E32" s="27">
        <v>5000</v>
      </c>
      <c r="F32" s="26">
        <f t="shared" ref="F32:F33" si="12">D32*E32</f>
        <v>60000</v>
      </c>
      <c r="G32" s="30" t="s">
        <v>81</v>
      </c>
      <c r="I32" s="10">
        <f>F32/O$2</f>
        <v>21.069191223979548</v>
      </c>
      <c r="J32" s="10">
        <f>F32/O$2</f>
        <v>21.069191223979548</v>
      </c>
    </row>
    <row r="33" spans="1:17" ht="16.8" customHeight="1" thickBot="1" x14ac:dyDescent="0.35">
      <c r="A33" s="124" t="s">
        <v>130</v>
      </c>
      <c r="B33" s="71" t="s">
        <v>64</v>
      </c>
      <c r="C33" s="34" t="s">
        <v>10</v>
      </c>
      <c r="D33" s="34">
        <v>12</v>
      </c>
      <c r="E33" s="35">
        <v>20000</v>
      </c>
      <c r="F33" s="36">
        <f t="shared" si="12"/>
        <v>240000</v>
      </c>
      <c r="G33" s="31" t="s">
        <v>82</v>
      </c>
      <c r="I33" s="10">
        <f>F33/M$2</f>
        <v>225.45584353364458</v>
      </c>
      <c r="J33" s="28"/>
    </row>
    <row r="34" spans="1:17" ht="87.6" thickTop="1" thickBot="1" x14ac:dyDescent="0.35">
      <c r="A34" s="121" t="s">
        <v>163</v>
      </c>
      <c r="B34" s="110" t="s">
        <v>79</v>
      </c>
      <c r="C34" s="111" t="s">
        <v>18</v>
      </c>
      <c r="D34" s="111">
        <v>1</v>
      </c>
      <c r="E34" s="112">
        <v>50000</v>
      </c>
      <c r="F34" s="113">
        <f t="shared" si="3"/>
        <v>50000</v>
      </c>
      <c r="G34" s="114" t="s">
        <v>148</v>
      </c>
      <c r="I34" s="10">
        <f>F34/M$2</f>
        <v>46.96996740284262</v>
      </c>
      <c r="J34" s="28"/>
    </row>
    <row r="35" spans="1:17" ht="15.6" thickTop="1" thickBot="1" x14ac:dyDescent="0.35">
      <c r="A35" s="37">
        <v>14</v>
      </c>
      <c r="B35" s="120" t="str">
        <f>B65</f>
        <v>Вывоз мусора*</v>
      </c>
      <c r="F35" s="102">
        <f>F65</f>
        <v>255640.00000000003</v>
      </c>
      <c r="G35" s="95" t="s">
        <v>50</v>
      </c>
      <c r="I35" s="159"/>
      <c r="J35" s="159"/>
    </row>
    <row r="36" spans="1:17" ht="15.6" thickTop="1" thickBot="1" x14ac:dyDescent="0.35">
      <c r="A36" s="37">
        <f t="shared" si="2"/>
        <v>15</v>
      </c>
      <c r="B36" s="56" t="s">
        <v>40</v>
      </c>
      <c r="C36" s="47" t="s">
        <v>18</v>
      </c>
      <c r="D36" s="47">
        <v>4</v>
      </c>
      <c r="E36" s="55">
        <v>7000</v>
      </c>
      <c r="F36" s="49">
        <f>D36*E36</f>
        <v>28000</v>
      </c>
      <c r="G36" s="50" t="s">
        <v>154</v>
      </c>
      <c r="I36" s="10">
        <f>F36/O$2</f>
        <v>9.8322892378571218</v>
      </c>
      <c r="J36" s="10">
        <f>F36/O$2</f>
        <v>9.8322892378571218</v>
      </c>
    </row>
    <row r="37" spans="1:17" ht="47.4" customHeight="1" thickTop="1" thickBot="1" x14ac:dyDescent="0.35">
      <c r="A37" s="37">
        <f t="shared" si="2"/>
        <v>16</v>
      </c>
      <c r="B37" s="56" t="s">
        <v>24</v>
      </c>
      <c r="C37" s="47" t="s">
        <v>18</v>
      </c>
      <c r="D37" s="47">
        <v>12</v>
      </c>
      <c r="E37" s="55">
        <v>1000</v>
      </c>
      <c r="F37" s="49">
        <f t="shared" si="3"/>
        <v>12000</v>
      </c>
      <c r="G37" s="50" t="s">
        <v>47</v>
      </c>
      <c r="I37" s="10">
        <f t="shared" ref="I37:I44" si="13">F37/O$2</f>
        <v>4.2138382447959097</v>
      </c>
      <c r="J37" s="10">
        <f t="shared" ref="J37:J44" si="14">F37/O$2</f>
        <v>4.2138382447959097</v>
      </c>
    </row>
    <row r="38" spans="1:17" ht="15.6" thickTop="1" thickBot="1" x14ac:dyDescent="0.35">
      <c r="A38" s="37">
        <f t="shared" si="2"/>
        <v>17</v>
      </c>
      <c r="B38" s="56" t="s">
        <v>95</v>
      </c>
      <c r="C38" s="47" t="s">
        <v>18</v>
      </c>
      <c r="D38" s="47">
        <v>3</v>
      </c>
      <c r="E38" s="55">
        <v>21000</v>
      </c>
      <c r="F38" s="49">
        <f t="shared" si="3"/>
        <v>63000</v>
      </c>
      <c r="G38" s="125" t="s">
        <v>123</v>
      </c>
      <c r="I38" s="10">
        <f t="shared" ref="I38" si="15">F38/O$2</f>
        <v>22.122650785178525</v>
      </c>
      <c r="J38" s="10">
        <f t="shared" ref="J38" si="16">F38/O$2</f>
        <v>22.122650785178525</v>
      </c>
    </row>
    <row r="39" spans="1:17" ht="123.6" customHeight="1" thickTop="1" thickBot="1" x14ac:dyDescent="0.35">
      <c r="A39" s="37">
        <f t="shared" si="2"/>
        <v>18</v>
      </c>
      <c r="B39" s="46" t="s">
        <v>124</v>
      </c>
      <c r="C39" s="47" t="s">
        <v>18</v>
      </c>
      <c r="D39" s="47">
        <v>1</v>
      </c>
      <c r="E39" s="55">
        <f>96000+14000+20000</f>
        <v>130000</v>
      </c>
      <c r="F39" s="49">
        <f t="shared" si="3"/>
        <v>130000</v>
      </c>
      <c r="G39" s="125" t="s">
        <v>150</v>
      </c>
      <c r="I39" s="10">
        <f>F39/M$2</f>
        <v>122.12191524739082</v>
      </c>
      <c r="J39" s="28"/>
    </row>
    <row r="40" spans="1:17" ht="156" customHeight="1" thickTop="1" thickBot="1" x14ac:dyDescent="0.35">
      <c r="A40" s="37">
        <f t="shared" si="2"/>
        <v>19</v>
      </c>
      <c r="B40" s="46" t="s">
        <v>125</v>
      </c>
      <c r="C40" s="47" t="s">
        <v>18</v>
      </c>
      <c r="D40" s="47">
        <v>1</v>
      </c>
      <c r="E40" s="55">
        <f>66000+14000+20000</f>
        <v>100000</v>
      </c>
      <c r="F40" s="49">
        <f t="shared" si="3"/>
        <v>100000</v>
      </c>
      <c r="G40" s="125" t="s">
        <v>149</v>
      </c>
      <c r="I40" s="28"/>
      <c r="J40" s="10">
        <f>F40/N2</f>
        <v>56.07738679377541</v>
      </c>
    </row>
    <row r="41" spans="1:17" ht="15.6" thickTop="1" thickBot="1" x14ac:dyDescent="0.35">
      <c r="A41" s="37">
        <f t="shared" si="2"/>
        <v>20</v>
      </c>
      <c r="B41" s="147" t="s">
        <v>49</v>
      </c>
      <c r="C41" s="148" t="s">
        <v>9</v>
      </c>
      <c r="D41" s="148">
        <v>5</v>
      </c>
      <c r="E41" s="149">
        <v>48000</v>
      </c>
      <c r="F41" s="41">
        <f>D41*E41</f>
        <v>240000</v>
      </c>
      <c r="G41" s="150" t="s">
        <v>153</v>
      </c>
      <c r="I41" s="10">
        <f>F41/M$2</f>
        <v>225.45584353364458</v>
      </c>
      <c r="J41" s="28"/>
    </row>
    <row r="42" spans="1:17" ht="72" customHeight="1" thickTop="1" thickBot="1" x14ac:dyDescent="0.35">
      <c r="A42" s="37">
        <f t="shared" si="2"/>
        <v>21</v>
      </c>
      <c r="B42" s="144" t="s">
        <v>94</v>
      </c>
      <c r="C42" s="145" t="s">
        <v>9</v>
      </c>
      <c r="D42" s="145">
        <v>5</v>
      </c>
      <c r="E42" s="60">
        <v>40000</v>
      </c>
      <c r="F42" s="44">
        <f>D42*E42</f>
        <v>200000</v>
      </c>
      <c r="G42" s="146" t="s">
        <v>151</v>
      </c>
      <c r="I42" s="28"/>
      <c r="J42" s="10">
        <f>F42/N$2</f>
        <v>112.15477358755082</v>
      </c>
    </row>
    <row r="43" spans="1:17" ht="30" thickTop="1" thickBot="1" x14ac:dyDescent="0.35">
      <c r="A43" s="37">
        <f t="shared" si="2"/>
        <v>22</v>
      </c>
      <c r="B43" s="141" t="s">
        <v>143</v>
      </c>
      <c r="C43" s="156" t="s">
        <v>144</v>
      </c>
      <c r="D43" s="156">
        <v>5</v>
      </c>
      <c r="E43" s="157">
        <v>6000</v>
      </c>
      <c r="F43" s="122">
        <f>F68</f>
        <v>30000</v>
      </c>
      <c r="G43" s="71" t="s">
        <v>152</v>
      </c>
      <c r="I43" s="158"/>
      <c r="J43" s="158"/>
    </row>
    <row r="44" spans="1:17" ht="19.8" customHeight="1" thickTop="1" thickBot="1" x14ac:dyDescent="0.35">
      <c r="A44" s="37">
        <f t="shared" si="2"/>
        <v>23</v>
      </c>
      <c r="B44" s="56" t="s">
        <v>25</v>
      </c>
      <c r="C44" s="47" t="s">
        <v>9</v>
      </c>
      <c r="D44" s="47">
        <v>12</v>
      </c>
      <c r="E44" s="48">
        <v>1000</v>
      </c>
      <c r="F44" s="49">
        <f t="shared" si="3"/>
        <v>12000</v>
      </c>
      <c r="G44" s="50" t="s">
        <v>93</v>
      </c>
      <c r="I44" s="10">
        <f t="shared" si="13"/>
        <v>4.2138382447959097</v>
      </c>
      <c r="J44" s="10">
        <f t="shared" si="14"/>
        <v>4.2138382447959097</v>
      </c>
      <c r="L44" s="226"/>
      <c r="M44" s="226"/>
      <c r="N44" s="226"/>
      <c r="O44" s="226"/>
      <c r="P44" s="226"/>
      <c r="Q44" s="226"/>
    </row>
    <row r="45" spans="1:17" s="69" customFormat="1" ht="15.6" thickTop="1" thickBot="1" x14ac:dyDescent="0.35">
      <c r="A45" s="76"/>
      <c r="B45" s="77"/>
      <c r="C45" s="78"/>
      <c r="D45" s="78"/>
      <c r="E45" s="79"/>
      <c r="F45" s="80">
        <f>SUM(F19:F44)</f>
        <v>6329393.5999999996</v>
      </c>
      <c r="G45" s="72"/>
      <c r="I45" s="70">
        <f>SUM(I19:I44)</f>
        <v>2640.4783130136402</v>
      </c>
      <c r="J45" s="70">
        <f>SUM(J19:J44)</f>
        <v>1812.9471644547029</v>
      </c>
      <c r="L45" s="227"/>
      <c r="M45" s="227"/>
      <c r="N45" s="227"/>
      <c r="O45" s="227"/>
      <c r="P45" s="227"/>
      <c r="Q45" s="227"/>
    </row>
    <row r="46" spans="1:17" ht="112.2" customHeight="1" thickTop="1" thickBot="1" x14ac:dyDescent="0.35">
      <c r="A46" s="151">
        <f>A44+1</f>
        <v>24</v>
      </c>
      <c r="B46" s="84" t="s">
        <v>37</v>
      </c>
      <c r="C46" s="85"/>
      <c r="D46" s="85"/>
      <c r="E46" s="86"/>
      <c r="F46" s="87">
        <v>50000</v>
      </c>
      <c r="G46" s="88" t="s">
        <v>157</v>
      </c>
      <c r="I46" s="10">
        <f t="shared" ref="I46" si="17">F46/O$2</f>
        <v>17.557659353316289</v>
      </c>
      <c r="J46" s="10">
        <f t="shared" ref="J46" si="18">F46/O$2</f>
        <v>17.557659353316289</v>
      </c>
      <c r="L46" s="226"/>
      <c r="M46" s="226"/>
      <c r="N46" s="226"/>
      <c r="O46" s="226"/>
      <c r="P46" s="226"/>
      <c r="Q46" s="226"/>
    </row>
    <row r="47" spans="1:17" ht="15" thickBot="1" x14ac:dyDescent="0.35">
      <c r="A47" s="193"/>
      <c r="B47" s="194"/>
      <c r="C47" s="115"/>
      <c r="D47" s="115"/>
      <c r="E47" s="116" t="s">
        <v>11</v>
      </c>
      <c r="F47" s="117">
        <f>SUM(F45:F46)</f>
        <v>6379393.5999999996</v>
      </c>
      <c r="G47" s="118"/>
      <c r="I47" s="29">
        <f>SUM(I45:I46)</f>
        <v>2658.0359723669567</v>
      </c>
      <c r="J47" s="29">
        <f>SUM(J45:J46)</f>
        <v>1830.5048238080192</v>
      </c>
      <c r="L47" s="228"/>
      <c r="M47" s="228"/>
      <c r="N47" s="228"/>
      <c r="O47" s="229"/>
      <c r="P47" s="226"/>
      <c r="Q47" s="226"/>
    </row>
    <row r="48" spans="1:17" x14ac:dyDescent="0.3">
      <c r="A48" s="198"/>
      <c r="B48" s="198"/>
      <c r="C48" s="6"/>
      <c r="D48" s="6"/>
      <c r="E48" s="5"/>
      <c r="F48" s="4"/>
      <c r="G48" s="16"/>
      <c r="I48" s="20"/>
      <c r="J48" s="23"/>
      <c r="L48" s="226"/>
      <c r="M48" s="226"/>
      <c r="N48" s="226"/>
      <c r="O48" s="229"/>
      <c r="P48" s="226"/>
      <c r="Q48" s="226"/>
    </row>
    <row r="49" spans="1:17" ht="18.600000000000001" thickBot="1" x14ac:dyDescent="0.35">
      <c r="A49" s="192" t="s">
        <v>2</v>
      </c>
      <c r="B49" s="192"/>
      <c r="C49" s="8"/>
      <c r="D49" s="8"/>
      <c r="E49" s="7"/>
      <c r="F49" s="4"/>
      <c r="G49" s="17"/>
      <c r="L49" s="226"/>
      <c r="M49" s="226"/>
      <c r="N49" s="226"/>
      <c r="O49" s="226"/>
      <c r="P49" s="226"/>
      <c r="Q49" s="226"/>
    </row>
    <row r="50" spans="1:17" s="22" customFormat="1" ht="48" customHeight="1" thickBot="1" x14ac:dyDescent="0.35">
      <c r="A50" s="51" t="s">
        <v>1</v>
      </c>
      <c r="B50" s="52" t="s">
        <v>3</v>
      </c>
      <c r="C50" s="53" t="s">
        <v>139</v>
      </c>
      <c r="D50" s="53" t="s">
        <v>4</v>
      </c>
      <c r="E50" s="52" t="s">
        <v>5</v>
      </c>
      <c r="F50" s="54" t="s">
        <v>87</v>
      </c>
      <c r="G50" s="73" t="s">
        <v>13</v>
      </c>
      <c r="I50" s="19" t="s">
        <v>14</v>
      </c>
      <c r="J50" s="19" t="s">
        <v>14</v>
      </c>
      <c r="L50" s="230"/>
      <c r="M50" s="230"/>
      <c r="N50" s="230"/>
      <c r="O50" s="230"/>
      <c r="P50" s="230"/>
      <c r="Q50" s="230"/>
    </row>
    <row r="51" spans="1:17" x14ac:dyDescent="0.3">
      <c r="A51" s="152">
        <v>25</v>
      </c>
      <c r="B51" s="57" t="s">
        <v>88</v>
      </c>
      <c r="C51" s="58" t="s">
        <v>18</v>
      </c>
      <c r="D51" s="59">
        <v>1</v>
      </c>
      <c r="E51" s="60">
        <v>25000</v>
      </c>
      <c r="F51" s="44">
        <f t="shared" ref="F51:F55" si="19">D51*E51</f>
        <v>25000</v>
      </c>
      <c r="G51" s="33" t="s">
        <v>89</v>
      </c>
      <c r="I51" s="10">
        <f t="shared" ref="I51:I54" si="20">F51/O$2</f>
        <v>8.7788296766581446</v>
      </c>
      <c r="J51" s="10">
        <f t="shared" ref="J51:J54" si="21">F51/O$2</f>
        <v>8.7788296766581446</v>
      </c>
      <c r="L51" s="226"/>
      <c r="M51" s="226"/>
      <c r="N51" s="226"/>
      <c r="O51" s="226"/>
      <c r="P51" s="226"/>
      <c r="Q51" s="226"/>
    </row>
    <row r="52" spans="1:17" x14ac:dyDescent="0.3">
      <c r="A52" s="152">
        <f>A51+1</f>
        <v>26</v>
      </c>
      <c r="B52" s="57" t="s">
        <v>90</v>
      </c>
      <c r="C52" s="58" t="s">
        <v>18</v>
      </c>
      <c r="D52" s="59">
        <v>3</v>
      </c>
      <c r="E52" s="60">
        <v>10000</v>
      </c>
      <c r="F52" s="44">
        <f t="shared" si="19"/>
        <v>30000</v>
      </c>
      <c r="G52" s="33" t="s">
        <v>89</v>
      </c>
      <c r="I52" s="10">
        <f t="shared" si="20"/>
        <v>10.534595611989774</v>
      </c>
      <c r="J52" s="10">
        <f t="shared" si="21"/>
        <v>10.534595611989774</v>
      </c>
      <c r="L52" s="226"/>
      <c r="M52" s="226"/>
      <c r="N52" s="226"/>
      <c r="O52" s="226"/>
      <c r="P52" s="226"/>
      <c r="Q52" s="226"/>
    </row>
    <row r="53" spans="1:17" x14ac:dyDescent="0.3">
      <c r="A53" s="152">
        <v>25</v>
      </c>
      <c r="B53" s="57" t="s">
        <v>137</v>
      </c>
      <c r="C53" s="58" t="s">
        <v>10</v>
      </c>
      <c r="D53" s="59">
        <v>1</v>
      </c>
      <c r="E53" s="60">
        <v>100000</v>
      </c>
      <c r="F53" s="44">
        <f t="shared" si="19"/>
        <v>100000</v>
      </c>
      <c r="G53" s="33" t="s">
        <v>138</v>
      </c>
      <c r="I53" s="10">
        <f t="shared" ref="I53" si="22">F53/O$2</f>
        <v>35.115318706632578</v>
      </c>
      <c r="J53" s="10">
        <f t="shared" ref="J53" si="23">F53/O$2</f>
        <v>35.115318706632578</v>
      </c>
      <c r="L53" s="226"/>
      <c r="M53" s="226"/>
      <c r="N53" s="226"/>
      <c r="O53" s="226"/>
      <c r="P53" s="226"/>
      <c r="Q53" s="226"/>
    </row>
    <row r="54" spans="1:17" ht="28.8" customHeight="1" x14ac:dyDescent="0.3">
      <c r="A54" s="152">
        <f>A52+1</f>
        <v>27</v>
      </c>
      <c r="B54" s="57" t="s">
        <v>91</v>
      </c>
      <c r="C54" s="58" t="s">
        <v>10</v>
      </c>
      <c r="D54" s="59">
        <v>1</v>
      </c>
      <c r="E54" s="60">
        <v>100000</v>
      </c>
      <c r="F54" s="44">
        <f t="shared" si="19"/>
        <v>100000</v>
      </c>
      <c r="G54" s="33" t="s">
        <v>136</v>
      </c>
      <c r="I54" s="10">
        <f t="shared" si="20"/>
        <v>35.115318706632578</v>
      </c>
      <c r="J54" s="10">
        <f t="shared" si="21"/>
        <v>35.115318706632578</v>
      </c>
      <c r="K54" s="153"/>
      <c r="L54" s="226"/>
      <c r="M54" s="226"/>
      <c r="N54" s="226"/>
      <c r="O54" s="226"/>
      <c r="P54" s="226"/>
      <c r="Q54" s="226"/>
    </row>
    <row r="55" spans="1:17" ht="108" customHeight="1" x14ac:dyDescent="0.3">
      <c r="A55" s="152">
        <f t="shared" ref="A55:A59" si="24">A54+1</f>
        <v>28</v>
      </c>
      <c r="B55" s="15" t="s">
        <v>92</v>
      </c>
      <c r="C55" s="12" t="s">
        <v>10</v>
      </c>
      <c r="D55" s="12">
        <v>1</v>
      </c>
      <c r="E55" s="14">
        <f>2020*7239</f>
        <v>14622780</v>
      </c>
      <c r="F55" s="44">
        <f t="shared" si="19"/>
        <v>14622780</v>
      </c>
      <c r="G55" s="30" t="s">
        <v>140</v>
      </c>
      <c r="I55" s="28"/>
      <c r="J55" s="10">
        <f>F55/N$2</f>
        <v>8200.0729006028323</v>
      </c>
      <c r="K55" s="154"/>
      <c r="L55" s="226"/>
      <c r="M55" s="226"/>
      <c r="N55" s="226"/>
      <c r="O55" s="226"/>
      <c r="P55" s="226"/>
      <c r="Q55" s="226"/>
    </row>
    <row r="56" spans="1:17" x14ac:dyDescent="0.3">
      <c r="A56" s="152">
        <f t="shared" si="24"/>
        <v>29</v>
      </c>
      <c r="B56" s="163" t="s">
        <v>155</v>
      </c>
      <c r="C56" s="32" t="s">
        <v>10</v>
      </c>
      <c r="D56" s="32">
        <v>3</v>
      </c>
      <c r="E56" s="60">
        <v>10000</v>
      </c>
      <c r="F56" s="44">
        <f>D56*E56</f>
        <v>30000</v>
      </c>
      <c r="G56" s="33" t="s">
        <v>156</v>
      </c>
      <c r="I56" s="10">
        <f>F56/O$2</f>
        <v>10.534595611989774</v>
      </c>
      <c r="J56" s="10">
        <f>F56/O$2</f>
        <v>10.534595611989774</v>
      </c>
      <c r="K56" s="154"/>
      <c r="L56" s="226"/>
      <c r="M56" s="226"/>
      <c r="N56" s="226"/>
      <c r="O56" s="226"/>
      <c r="P56" s="226"/>
      <c r="Q56" s="226"/>
    </row>
    <row r="57" spans="1:17" ht="28.8" customHeight="1" x14ac:dyDescent="0.3">
      <c r="A57" s="152">
        <f t="shared" si="24"/>
        <v>30</v>
      </c>
      <c r="B57" s="57" t="s">
        <v>86</v>
      </c>
      <c r="C57" s="58" t="s">
        <v>18</v>
      </c>
      <c r="D57" s="59">
        <v>1</v>
      </c>
      <c r="E57" s="60">
        <v>300000</v>
      </c>
      <c r="F57" s="44">
        <f>D57*E57</f>
        <v>300000</v>
      </c>
      <c r="G57" s="33" t="s">
        <v>133</v>
      </c>
      <c r="I57" s="10">
        <f>F57/O$2</f>
        <v>105.34595611989774</v>
      </c>
      <c r="J57" s="10">
        <f>F57/O$2</f>
        <v>105.34595611989774</v>
      </c>
      <c r="L57" s="226"/>
      <c r="M57" s="226"/>
      <c r="N57" s="226"/>
      <c r="O57" s="226"/>
      <c r="P57" s="226"/>
      <c r="Q57" s="226"/>
    </row>
    <row r="58" spans="1:17" x14ac:dyDescent="0.3">
      <c r="A58" s="152">
        <f t="shared" si="24"/>
        <v>31</v>
      </c>
      <c r="B58" s="15" t="s">
        <v>26</v>
      </c>
      <c r="C58" s="12" t="s">
        <v>18</v>
      </c>
      <c r="D58" s="12">
        <v>2</v>
      </c>
      <c r="E58" s="14">
        <v>13500</v>
      </c>
      <c r="F58" s="13">
        <f t="shared" ref="F58" si="25">D58*E58</f>
        <v>27000</v>
      </c>
      <c r="G58" s="30" t="s">
        <v>39</v>
      </c>
      <c r="I58" s="10">
        <f>F58/O$2</f>
        <v>9.4811360507907967</v>
      </c>
      <c r="J58" s="10">
        <f>F58/O$2</f>
        <v>9.4811360507907967</v>
      </c>
      <c r="L58" s="226"/>
      <c r="M58" s="226"/>
      <c r="N58" s="226"/>
      <c r="O58" s="226"/>
      <c r="P58" s="226"/>
      <c r="Q58" s="226"/>
    </row>
    <row r="59" spans="1:17" ht="32.4" customHeight="1" x14ac:dyDescent="0.3">
      <c r="A59" s="152">
        <f t="shared" si="24"/>
        <v>32</v>
      </c>
      <c r="B59" s="15" t="s">
        <v>134</v>
      </c>
      <c r="C59" s="12" t="s">
        <v>18</v>
      </c>
      <c r="D59" s="12">
        <v>1</v>
      </c>
      <c r="E59" s="14">
        <v>100000</v>
      </c>
      <c r="F59" s="13">
        <f>D59*E59</f>
        <v>100000</v>
      </c>
      <c r="G59" s="30" t="s">
        <v>135</v>
      </c>
      <c r="I59" s="10">
        <f>F59/O$2</f>
        <v>35.115318706632578</v>
      </c>
      <c r="J59" s="10">
        <f>F59/O$2</f>
        <v>35.115318706632578</v>
      </c>
      <c r="L59" s="226"/>
      <c r="M59" s="226"/>
      <c r="N59" s="226"/>
      <c r="O59" s="226"/>
      <c r="P59" s="226"/>
      <c r="Q59" s="226"/>
    </row>
    <row r="60" spans="1:17" ht="15" thickBot="1" x14ac:dyDescent="0.35">
      <c r="A60" s="193"/>
      <c r="B60" s="194"/>
      <c r="C60" s="115"/>
      <c r="D60" s="115"/>
      <c r="E60" s="116" t="s">
        <v>12</v>
      </c>
      <c r="F60" s="117">
        <f>SUM(F51:F59)</f>
        <v>15334780</v>
      </c>
      <c r="G60" s="119"/>
      <c r="I60" s="21">
        <f>SUM(I51:I59)</f>
        <v>250.02106919122394</v>
      </c>
      <c r="J60" s="21">
        <f>SUM(J51:J59)</f>
        <v>8450.0939697940539</v>
      </c>
      <c r="L60" s="228"/>
      <c r="M60" s="228"/>
      <c r="N60" s="228"/>
      <c r="O60" s="229"/>
      <c r="P60" s="226"/>
      <c r="Q60" s="226"/>
    </row>
    <row r="61" spans="1:17" x14ac:dyDescent="0.3">
      <c r="A61" s="184"/>
      <c r="B61" s="184"/>
      <c r="C61" s="2"/>
      <c r="D61" s="2"/>
      <c r="E61" s="1"/>
      <c r="F61" s="3"/>
      <c r="G61" s="16"/>
      <c r="I61" s="64">
        <f>I47+I60</f>
        <v>2908.0570415581806</v>
      </c>
      <c r="J61" s="64">
        <f>J47+J60</f>
        <v>10280.598793602074</v>
      </c>
      <c r="L61" s="228"/>
      <c r="M61" s="228"/>
      <c r="N61" s="231"/>
      <c r="O61" s="228"/>
      <c r="P61" s="226"/>
      <c r="Q61" s="226"/>
    </row>
    <row r="62" spans="1:17" ht="18" x14ac:dyDescent="0.3">
      <c r="A62" s="184"/>
      <c r="B62" s="184"/>
      <c r="C62" s="2"/>
      <c r="D62" s="61"/>
      <c r="E62" s="62" t="s">
        <v>35</v>
      </c>
      <c r="F62" s="63">
        <f>F47+F60</f>
        <v>21714173.600000001</v>
      </c>
      <c r="G62" s="16"/>
      <c r="H62" s="9"/>
      <c r="L62" s="226"/>
      <c r="M62" s="226"/>
      <c r="N62" s="226"/>
      <c r="O62" s="226"/>
      <c r="P62" s="226"/>
      <c r="Q62" s="226"/>
    </row>
    <row r="63" spans="1:17" x14ac:dyDescent="0.3">
      <c r="A63" s="184"/>
      <c r="B63" s="184"/>
      <c r="C63" s="2"/>
      <c r="D63" s="2"/>
      <c r="E63" s="1"/>
      <c r="G63" s="16"/>
      <c r="I63" s="9"/>
      <c r="J63" s="9"/>
      <c r="L63" s="226"/>
      <c r="M63" s="226"/>
      <c r="N63" s="226"/>
      <c r="O63" s="226"/>
      <c r="P63" s="226"/>
      <c r="Q63" s="226"/>
    </row>
    <row r="64" spans="1:17" ht="18.600000000000001" thickBot="1" x14ac:dyDescent="0.4">
      <c r="A64" s="99" t="s">
        <v>59</v>
      </c>
      <c r="I64" s="22" t="s">
        <v>51</v>
      </c>
      <c r="J64" s="89" t="s">
        <v>52</v>
      </c>
      <c r="L64" s="226"/>
      <c r="M64" s="226"/>
      <c r="N64" s="226"/>
      <c r="O64" s="226"/>
      <c r="P64" s="226"/>
      <c r="Q64" s="226"/>
    </row>
    <row r="65" spans="1:17" ht="121.8" customHeight="1" thickTop="1" thickBot="1" x14ac:dyDescent="0.35">
      <c r="A65" s="45">
        <v>12</v>
      </c>
      <c r="B65" s="56" t="s">
        <v>53</v>
      </c>
      <c r="C65" s="47" t="s">
        <v>10</v>
      </c>
      <c r="D65" s="47">
        <v>1</v>
      </c>
      <c r="E65" s="66" t="s">
        <v>36</v>
      </c>
      <c r="F65" s="49">
        <f>(206000+1100*12+1100*6*2)*1.1</f>
        <v>255640.00000000003</v>
      </c>
      <c r="G65" s="50" t="s">
        <v>85</v>
      </c>
      <c r="I65" s="96">
        <v>56</v>
      </c>
      <c r="J65" s="101">
        <f>F65/I65/12</f>
        <v>380.41666666666674</v>
      </c>
      <c r="L65" s="226"/>
      <c r="M65" s="226"/>
      <c r="N65" s="231"/>
      <c r="O65" s="226"/>
      <c r="P65" s="226"/>
      <c r="Q65" s="226"/>
    </row>
    <row r="66" spans="1:17" ht="29.4" customHeight="1" thickTop="1" x14ac:dyDescent="0.3">
      <c r="A66" s="195" t="s">
        <v>84</v>
      </c>
      <c r="B66" s="195"/>
      <c r="C66" s="195"/>
      <c r="D66" s="195"/>
      <c r="E66" s="195"/>
      <c r="F66" s="195"/>
      <c r="G66" s="195"/>
      <c r="L66" s="226"/>
      <c r="M66" s="226"/>
      <c r="N66" s="231"/>
      <c r="O66" s="226"/>
      <c r="P66" s="226"/>
      <c r="Q66" s="226"/>
    </row>
    <row r="67" spans="1:17" x14ac:dyDescent="0.3">
      <c r="I67" s="22" t="s">
        <v>51</v>
      </c>
      <c r="J67" t="s">
        <v>54</v>
      </c>
      <c r="L67" s="226"/>
      <c r="M67" s="226"/>
      <c r="N67" s="231"/>
      <c r="O67" s="226"/>
      <c r="P67" s="226"/>
      <c r="Q67" s="226"/>
    </row>
    <row r="68" spans="1:17" ht="45" customHeight="1" x14ac:dyDescent="0.3">
      <c r="A68" s="97">
        <f>A42</f>
        <v>21</v>
      </c>
      <c r="B68" s="15" t="s">
        <v>83</v>
      </c>
      <c r="C68" s="11" t="s">
        <v>9</v>
      </c>
      <c r="D68" s="11">
        <v>5</v>
      </c>
      <c r="E68" s="14">
        <v>6000</v>
      </c>
      <c r="F68" s="13">
        <f>D68*E68</f>
        <v>30000</v>
      </c>
      <c r="G68" s="83" t="s">
        <v>142</v>
      </c>
      <c r="I68" s="10">
        <v>6</v>
      </c>
      <c r="J68" s="101">
        <f>F68/I68/12</f>
        <v>416.66666666666669</v>
      </c>
      <c r="K68" s="160"/>
      <c r="L68" s="226"/>
      <c r="M68" s="226"/>
      <c r="N68" s="231"/>
      <c r="O68" s="226"/>
      <c r="P68" s="226"/>
      <c r="Q68" s="226"/>
    </row>
    <row r="69" spans="1:17" x14ac:dyDescent="0.3">
      <c r="A69" s="98" t="s">
        <v>127</v>
      </c>
      <c r="L69" s="226"/>
      <c r="M69" s="226"/>
      <c r="N69" s="228"/>
      <c r="O69" s="229"/>
      <c r="P69" s="226"/>
      <c r="Q69" s="226"/>
    </row>
    <row r="70" spans="1:17" x14ac:dyDescent="0.3">
      <c r="G70" s="100"/>
      <c r="L70" s="226"/>
      <c r="M70" s="226"/>
      <c r="N70" s="226"/>
      <c r="O70" s="226"/>
      <c r="P70" s="226"/>
      <c r="Q70" s="226"/>
    </row>
  </sheetData>
  <mergeCells count="26">
    <mergeCell ref="A1:G1"/>
    <mergeCell ref="A5:F5"/>
    <mergeCell ref="A10:G10"/>
    <mergeCell ref="I8:I9"/>
    <mergeCell ref="A63:B63"/>
    <mergeCell ref="A15:B15"/>
    <mergeCell ref="A47:B47"/>
    <mergeCell ref="A48:B48"/>
    <mergeCell ref="A2:G2"/>
    <mergeCell ref="G16:G18"/>
    <mergeCell ref="F16:F18"/>
    <mergeCell ref="E16:E18"/>
    <mergeCell ref="D16:D18"/>
    <mergeCell ref="C16:C18"/>
    <mergeCell ref="B16:B18"/>
    <mergeCell ref="P8:R9"/>
    <mergeCell ref="A49:B49"/>
    <mergeCell ref="A60:B60"/>
    <mergeCell ref="A61:B61"/>
    <mergeCell ref="A66:G66"/>
    <mergeCell ref="A62:B62"/>
    <mergeCell ref="I16:I18"/>
    <mergeCell ref="J16:J18"/>
    <mergeCell ref="L16:L18"/>
    <mergeCell ref="M15:M18"/>
    <mergeCell ref="A16:A18"/>
  </mergeCells>
  <phoneticPr fontId="22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0DA7-7AB2-492D-8F37-4E21B42FF577}">
  <dimension ref="A1:J13"/>
  <sheetViews>
    <sheetView zoomScale="60" zoomScaleNormal="60" workbookViewId="0">
      <selection activeCell="V12" sqref="V12"/>
    </sheetView>
  </sheetViews>
  <sheetFormatPr defaultRowHeight="14.4" x14ac:dyDescent="0.3"/>
  <cols>
    <col min="1" max="1" width="8.88671875" style="129"/>
    <col min="2" max="2" width="48.88671875" style="129" customWidth="1"/>
    <col min="3" max="3" width="16.109375" style="129" customWidth="1"/>
    <col min="4" max="4" width="18.44140625" style="129" customWidth="1"/>
    <col min="5" max="5" width="18.6640625" style="129" bestFit="1" customWidth="1"/>
    <col min="6" max="6" width="18.88671875" style="129" customWidth="1"/>
    <col min="7" max="7" width="19" style="129" bestFit="1" customWidth="1"/>
    <col min="8" max="8" width="8.88671875" style="129"/>
    <col min="9" max="9" width="14.5546875" style="129" bestFit="1" customWidth="1"/>
    <col min="10" max="16384" width="8.88671875" style="129"/>
  </cols>
  <sheetData>
    <row r="1" spans="1:10" ht="15.6" x14ac:dyDescent="0.3">
      <c r="A1" s="126"/>
      <c r="B1" s="127"/>
      <c r="C1" s="127"/>
      <c r="D1" s="128"/>
      <c r="E1" s="128"/>
      <c r="F1" s="128"/>
    </row>
    <row r="2" spans="1:10" ht="23.4" x14ac:dyDescent="0.3">
      <c r="A2" s="130"/>
      <c r="B2" s="215" t="s">
        <v>99</v>
      </c>
      <c r="C2" s="216"/>
      <c r="D2" s="216"/>
      <c r="E2" s="216"/>
      <c r="F2" s="216"/>
      <c r="G2" s="217"/>
    </row>
    <row r="3" spans="1:10" ht="23.4" x14ac:dyDescent="0.3">
      <c r="A3" s="130"/>
      <c r="B3" s="215" t="s">
        <v>100</v>
      </c>
      <c r="C3" s="216"/>
      <c r="D3" s="216"/>
      <c r="E3" s="216"/>
      <c r="F3" s="216"/>
      <c r="G3" s="217"/>
    </row>
    <row r="4" spans="1:10" ht="24" thickBot="1" x14ac:dyDescent="0.35">
      <c r="A4" s="218" t="s">
        <v>101</v>
      </c>
      <c r="B4" s="218"/>
      <c r="C4" s="218"/>
      <c r="D4" s="218"/>
      <c r="E4" s="218"/>
      <c r="F4" s="218"/>
      <c r="G4" s="218"/>
    </row>
    <row r="5" spans="1:10" ht="23.4" x14ac:dyDescent="0.3">
      <c r="A5" s="219" t="s">
        <v>1</v>
      </c>
      <c r="B5" s="221" t="s">
        <v>102</v>
      </c>
      <c r="C5" s="221" t="s">
        <v>103</v>
      </c>
      <c r="D5" s="221" t="s">
        <v>104</v>
      </c>
      <c r="E5" s="221" t="s">
        <v>105</v>
      </c>
      <c r="F5" s="223" t="s">
        <v>106</v>
      </c>
      <c r="G5" s="224"/>
    </row>
    <row r="6" spans="1:10" ht="51.75" customHeight="1" x14ac:dyDescent="0.3">
      <c r="A6" s="220"/>
      <c r="B6" s="222"/>
      <c r="C6" s="222"/>
      <c r="D6" s="222"/>
      <c r="E6" s="222"/>
      <c r="F6" s="131" t="s">
        <v>107</v>
      </c>
      <c r="G6" s="131" t="s">
        <v>108</v>
      </c>
    </row>
    <row r="7" spans="1:10" ht="55.5" customHeight="1" x14ac:dyDescent="0.3">
      <c r="A7" s="132" t="s">
        <v>109</v>
      </c>
      <c r="B7" s="133" t="s">
        <v>110</v>
      </c>
      <c r="C7" s="134"/>
      <c r="D7" s="135" t="s">
        <v>111</v>
      </c>
      <c r="E7" s="136">
        <v>1</v>
      </c>
      <c r="F7" s="137">
        <v>800</v>
      </c>
      <c r="G7" s="137">
        <f t="shared" ref="G7:G12" si="0">F7*E7</f>
        <v>800</v>
      </c>
    </row>
    <row r="8" spans="1:10" ht="51.75" customHeight="1" x14ac:dyDescent="0.3">
      <c r="A8" s="132" t="s">
        <v>112</v>
      </c>
      <c r="B8" s="133" t="s">
        <v>113</v>
      </c>
      <c r="C8" s="134"/>
      <c r="D8" s="135" t="s">
        <v>111</v>
      </c>
      <c r="E8" s="136">
        <v>1</v>
      </c>
      <c r="F8" s="137">
        <v>790</v>
      </c>
      <c r="G8" s="137">
        <f t="shared" si="0"/>
        <v>790</v>
      </c>
    </row>
    <row r="9" spans="1:10" ht="49.5" customHeight="1" x14ac:dyDescent="0.3">
      <c r="A9" s="132" t="s">
        <v>114</v>
      </c>
      <c r="B9" s="133" t="s">
        <v>115</v>
      </c>
      <c r="C9" s="138"/>
      <c r="D9" s="135" t="s">
        <v>116</v>
      </c>
      <c r="E9" s="136">
        <v>1</v>
      </c>
      <c r="F9" s="137">
        <v>445</v>
      </c>
      <c r="G9" s="137">
        <f t="shared" si="0"/>
        <v>445</v>
      </c>
    </row>
    <row r="10" spans="1:10" ht="59.25" customHeight="1" x14ac:dyDescent="0.3">
      <c r="A10" s="132" t="s">
        <v>117</v>
      </c>
      <c r="B10" s="133" t="s">
        <v>118</v>
      </c>
      <c r="C10" s="138"/>
      <c r="D10" s="135" t="s">
        <v>111</v>
      </c>
      <c r="E10" s="136">
        <v>1</v>
      </c>
      <c r="F10" s="137">
        <v>900</v>
      </c>
      <c r="G10" s="137">
        <f t="shared" si="0"/>
        <v>900</v>
      </c>
    </row>
    <row r="11" spans="1:10" ht="55.5" customHeight="1" x14ac:dyDescent="0.3">
      <c r="A11" s="132" t="s">
        <v>119</v>
      </c>
      <c r="B11" s="133" t="s">
        <v>120</v>
      </c>
      <c r="C11" s="138"/>
      <c r="D11" s="135" t="s">
        <v>111</v>
      </c>
      <c r="E11" s="136">
        <v>1</v>
      </c>
      <c r="F11" s="137">
        <v>650</v>
      </c>
      <c r="G11" s="137">
        <f t="shared" si="0"/>
        <v>650</v>
      </c>
    </row>
    <row r="12" spans="1:10" ht="45.75" customHeight="1" x14ac:dyDescent="0.3">
      <c r="A12" s="132" t="s">
        <v>121</v>
      </c>
      <c r="B12" s="133" t="s">
        <v>122</v>
      </c>
      <c r="C12" s="138"/>
      <c r="D12" s="135" t="s">
        <v>111</v>
      </c>
      <c r="E12" s="136">
        <v>1</v>
      </c>
      <c r="F12" s="137">
        <v>25</v>
      </c>
      <c r="G12" s="137">
        <f t="shared" si="0"/>
        <v>25</v>
      </c>
    </row>
    <row r="13" spans="1:10" ht="23.4" x14ac:dyDescent="0.45">
      <c r="A13" s="139"/>
      <c r="B13" s="212" t="s">
        <v>43</v>
      </c>
      <c r="C13" s="213"/>
      <c r="D13" s="213"/>
      <c r="E13" s="213"/>
      <c r="F13" s="214"/>
      <c r="G13" s="140"/>
      <c r="I13" s="142">
        <v>2020</v>
      </c>
      <c r="J13" s="143" t="s">
        <v>126</v>
      </c>
    </row>
  </sheetData>
  <mergeCells count="10">
    <mergeCell ref="B13:F13"/>
    <mergeCell ref="B2:G2"/>
    <mergeCell ref="B3:G3"/>
    <mergeCell ref="A4:G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ФЭО к смете 2024-2025_v2</vt:lpstr>
      <vt:lpstr>КП ремонт дорог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Магдий Ольга</dc:creator>
  <cp:lastModifiedBy>Пользователь Windows</cp:lastModifiedBy>
  <cp:lastPrinted>2024-08-25T07:48:38Z</cp:lastPrinted>
  <dcterms:created xsi:type="dcterms:W3CDTF">2024-06-22T06:53:33Z</dcterms:created>
  <dcterms:modified xsi:type="dcterms:W3CDTF">2025-04-27T23:51:01Z</dcterms:modified>
</cp:coreProperties>
</file>