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checkCompatibility="1" autoCompressPictures="0"/>
  <bookViews>
    <workbookView xWindow="5100" yWindow="100" windowWidth="25600" windowHeight="16060"/>
  </bookViews>
  <sheets>
    <sheet name="Смета 2019-20" sheetId="3" r:id="rId1"/>
    <sheet name="Расчет взносов" sheetId="4" r:id="rId2"/>
  </sheets>
  <calcPr calcId="140001" refMode="R1C1" concurrentCalc="0"/>
  <extLst>
    <ext xmlns:mx="http://schemas.microsoft.com/office/mac/excel/2008/main" uri="{7523E5D3-25F3-A5E0-1632-64F254C22452}">
      <mx:ArchID Flags="2"/>
    </ext>
  </extLst>
</workbook>
</file>

<file path=xl/calcChain.xml><?xml version="1.0" encoding="utf-8"?>
<calcChain xmlns="http://schemas.openxmlformats.org/spreadsheetml/2006/main">
  <c r="P5" i="4" l="1"/>
  <c r="Y8" i="4"/>
  <c r="Y7" i="4"/>
  <c r="Y6" i="4"/>
  <c r="Y5" i="4"/>
  <c r="Y4" i="4"/>
  <c r="AC4" i="4"/>
  <c r="U7" i="4"/>
  <c r="U4" i="4"/>
  <c r="F5" i="4"/>
  <c r="H5" i="4"/>
  <c r="J5" i="4"/>
  <c r="I33" i="3"/>
  <c r="I100" i="3"/>
  <c r="I162" i="3"/>
  <c r="Y10" i="4"/>
  <c r="AA4" i="4"/>
  <c r="Y11" i="4"/>
  <c r="F81" i="4"/>
  <c r="H81" i="4"/>
  <c r="J81" i="4"/>
  <c r="N8" i="4"/>
  <c r="F65" i="4"/>
  <c r="H65" i="4"/>
  <c r="J65" i="4"/>
  <c r="H8" i="4"/>
  <c r="F73" i="4"/>
  <c r="H73" i="4"/>
  <c r="J73" i="4"/>
  <c r="F49" i="4"/>
  <c r="H49" i="4"/>
  <c r="J49" i="4"/>
  <c r="F57" i="4"/>
  <c r="H57" i="4"/>
  <c r="J57" i="4"/>
  <c r="J86" i="4"/>
  <c r="F84" i="3"/>
  <c r="F17" i="3"/>
  <c r="G8" i="3"/>
  <c r="G17" i="3"/>
  <c r="G33" i="3"/>
  <c r="G170" i="3"/>
  <c r="G182" i="3"/>
  <c r="I182" i="3"/>
  <c r="G107" i="3"/>
  <c r="G119" i="3"/>
  <c r="I119" i="3"/>
  <c r="I128" i="3"/>
  <c r="G41" i="3"/>
  <c r="G53" i="3"/>
  <c r="I53" i="3"/>
  <c r="I62" i="3"/>
  <c r="N49" i="4"/>
  <c r="G47" i="3"/>
  <c r="G176" i="3"/>
  <c r="G113" i="3"/>
  <c r="F146" i="3"/>
  <c r="G146" i="3"/>
  <c r="G167" i="3"/>
  <c r="G168" i="3"/>
  <c r="G169" i="3"/>
  <c r="G171" i="3"/>
  <c r="G172" i="3"/>
  <c r="G173" i="3"/>
  <c r="G174" i="3"/>
  <c r="F175" i="3"/>
  <c r="G175" i="3"/>
  <c r="G177" i="3"/>
  <c r="G178" i="3"/>
  <c r="G179" i="3"/>
  <c r="G180" i="3"/>
  <c r="I191" i="3"/>
  <c r="G137" i="3"/>
  <c r="G138" i="3"/>
  <c r="G139" i="3"/>
  <c r="G140" i="3"/>
  <c r="G141" i="3"/>
  <c r="G142" i="3"/>
  <c r="G143" i="3"/>
  <c r="G147" i="3"/>
  <c r="G148" i="3"/>
  <c r="G149" i="3"/>
  <c r="G150" i="3"/>
  <c r="G151" i="3"/>
  <c r="G152" i="3"/>
  <c r="G153" i="3"/>
  <c r="G154" i="3"/>
  <c r="G155" i="3"/>
  <c r="G156" i="3"/>
  <c r="G157" i="3"/>
  <c r="F158" i="3"/>
  <c r="G158" i="3"/>
  <c r="G159" i="3"/>
  <c r="G160" i="3"/>
  <c r="G162" i="3"/>
  <c r="G75" i="3"/>
  <c r="G76" i="3"/>
  <c r="G77" i="3"/>
  <c r="G78" i="3"/>
  <c r="G79" i="3"/>
  <c r="G80" i="3"/>
  <c r="G81" i="3"/>
  <c r="G104" i="3"/>
  <c r="G105" i="3"/>
  <c r="G106" i="3"/>
  <c r="G108" i="3"/>
  <c r="G109" i="3"/>
  <c r="G110" i="3"/>
  <c r="G111" i="3"/>
  <c r="F112" i="3"/>
  <c r="G112" i="3"/>
  <c r="G114" i="3"/>
  <c r="G115" i="3"/>
  <c r="G116" i="3"/>
  <c r="G117" i="3"/>
  <c r="G84" i="3"/>
  <c r="G85" i="3"/>
  <c r="G86" i="3"/>
  <c r="G87" i="3"/>
  <c r="G88" i="3"/>
  <c r="G89" i="3"/>
  <c r="G90" i="3"/>
  <c r="G91" i="3"/>
  <c r="G92" i="3"/>
  <c r="G93" i="3"/>
  <c r="G94" i="3"/>
  <c r="G95" i="3"/>
  <c r="F96" i="3"/>
  <c r="G96" i="3"/>
  <c r="G97" i="3"/>
  <c r="G98" i="3"/>
  <c r="G100" i="3"/>
  <c r="G38" i="3"/>
  <c r="G39" i="3"/>
  <c r="G40" i="3"/>
  <c r="G42" i="3"/>
  <c r="G43" i="3"/>
  <c r="G44" i="3"/>
  <c r="G45" i="3"/>
  <c r="F46" i="3"/>
  <c r="G46" i="3"/>
  <c r="G48" i="3"/>
  <c r="G49" i="3"/>
  <c r="G50" i="3"/>
  <c r="G51" i="3"/>
  <c r="G12" i="3"/>
  <c r="G9" i="3"/>
  <c r="G10" i="3"/>
  <c r="G11" i="3"/>
  <c r="G13" i="3"/>
  <c r="G14" i="3"/>
  <c r="G18" i="3"/>
  <c r="G19" i="3"/>
  <c r="G20" i="3"/>
  <c r="G21" i="3"/>
  <c r="G22" i="3"/>
  <c r="G23" i="3"/>
  <c r="G24" i="3"/>
  <c r="G25" i="3"/>
  <c r="G26" i="3"/>
  <c r="G27" i="3"/>
  <c r="G28" i="3"/>
  <c r="F29" i="3"/>
  <c r="G29" i="3"/>
  <c r="G30" i="3"/>
  <c r="G31" i="3"/>
  <c r="P49" i="4"/>
  <c r="R49" i="4"/>
  <c r="R86" i="4"/>
  <c r="P86" i="4"/>
  <c r="N86" i="4"/>
  <c r="L86" i="4"/>
  <c r="D86" i="4"/>
  <c r="P8" i="4"/>
  <c r="P7" i="4"/>
  <c r="J7" i="4"/>
  <c r="P6" i="4"/>
  <c r="J6" i="4"/>
  <c r="J4" i="4"/>
  <c r="P91" i="4"/>
  <c r="H86" i="4"/>
  <c r="N91" i="4"/>
  <c r="F86" i="4"/>
  <c r="L91" i="4"/>
</calcChain>
</file>

<file path=xl/sharedStrings.xml><?xml version="1.0" encoding="utf-8"?>
<sst xmlns="http://schemas.openxmlformats.org/spreadsheetml/2006/main" count="405" uniqueCount="145">
  <si>
    <t>Количество соток в поселке:</t>
  </si>
  <si>
    <t>Количество собственников</t>
  </si>
  <si>
    <t>Председатель</t>
  </si>
  <si>
    <t>Членские взносы:</t>
  </si>
  <si>
    <t>Сумма,р.</t>
  </si>
  <si>
    <t>Сумма,р./год</t>
  </si>
  <si>
    <t>Фонд оплаты труда:</t>
  </si>
  <si>
    <t>квартал</t>
  </si>
  <si>
    <t>месяц</t>
  </si>
  <si>
    <t>Период.</t>
  </si>
  <si>
    <t>Кол-во периодов в год</t>
  </si>
  <si>
    <t>Налоги ФОТ</t>
  </si>
  <si>
    <t>мес</t>
  </si>
  <si>
    <t xml:space="preserve">Вывоз мусора </t>
  </si>
  <si>
    <t>Пожарная безопасность</t>
  </si>
  <si>
    <t>год</t>
  </si>
  <si>
    <t>Бухг. ПО</t>
  </si>
  <si>
    <t>Сайт (домен+хостинг)</t>
  </si>
  <si>
    <t>сезон</t>
  </si>
  <si>
    <t xml:space="preserve">ЭЦП </t>
  </si>
  <si>
    <t>Обслуживание р/с (банк)</t>
  </si>
  <si>
    <t>Целевые взносы:</t>
  </si>
  <si>
    <t xml:space="preserve"> Изготовление и монтаж вывески (или объемные буквы) названия поселка </t>
  </si>
  <si>
    <t>Информационные щиты (2 шт: въезд и площадка для мусора)</t>
  </si>
  <si>
    <t>смета</t>
  </si>
  <si>
    <t>Штраф за нарушение общественного порядка</t>
  </si>
  <si>
    <t>Штраф за порчу имущества ОП</t>
  </si>
  <si>
    <t>Ливневки</t>
  </si>
  <si>
    <t>Обслуживание КТП</t>
  </si>
  <si>
    <t>Хоз. Нужды (триммер, инструмент, эл. Автоматы, лампочки, бензин, газ балоны)</t>
  </si>
  <si>
    <t>Борщевик</t>
  </si>
  <si>
    <t>Уборка снега (1-ая и 2-ая очередь)</t>
  </si>
  <si>
    <t>1 оч</t>
  </si>
  <si>
    <t>2 оч</t>
  </si>
  <si>
    <t>Количество проданных участков ДПК "Раздолье"</t>
  </si>
  <si>
    <t>Количество участков всего</t>
  </si>
  <si>
    <t>членский взнос в мес</t>
  </si>
  <si>
    <t xml:space="preserve">членский взнос при оплате за квартал
</t>
  </si>
  <si>
    <t/>
  </si>
  <si>
    <t>целевой взнос за мес</t>
  </si>
  <si>
    <t>целевой взнос в год</t>
  </si>
  <si>
    <t>1500+смета</t>
  </si>
  <si>
    <t>"Инвесторские" участки</t>
  </si>
  <si>
    <t>Инвесторские участки</t>
  </si>
  <si>
    <t>членский взнос при оплате за квартал</t>
  </si>
  <si>
    <t>членский взнос при оплате за год</t>
  </si>
  <si>
    <t xml:space="preserve">членский взнос при оплате за год
</t>
  </si>
  <si>
    <t>17-25</t>
  </si>
  <si>
    <t>25+</t>
  </si>
  <si>
    <t>Базовые участки</t>
  </si>
  <si>
    <t>И</t>
  </si>
  <si>
    <t>ИТОГО:</t>
  </si>
  <si>
    <t>соток</t>
  </si>
  <si>
    <t>в квартал</t>
  </si>
  <si>
    <t>в год</t>
  </si>
  <si>
    <t>в месяц</t>
  </si>
  <si>
    <t xml:space="preserve">Базовый      </t>
  </si>
  <si>
    <r>
      <t>Если у вас есть еще участки  (</t>
    </r>
    <r>
      <rPr>
        <b/>
        <sz val="11"/>
        <color theme="1"/>
        <rFont val="Calibri"/>
        <family val="2"/>
        <charset val="204"/>
        <scheme val="minor"/>
      </rPr>
      <t>за исключением "инвесторских"</t>
    </r>
    <r>
      <rPr>
        <sz val="11"/>
        <color theme="1"/>
        <rFont val="Calibri"/>
        <family val="2"/>
        <charset val="204"/>
        <scheme val="minor"/>
      </rPr>
      <t xml:space="preserve">), то суммируя их общую площадь внесите ее (как в договоре) в соответствующее поле оранжевого цвета: </t>
    </r>
    <r>
      <rPr>
        <b/>
        <sz val="11"/>
        <color theme="1"/>
        <rFont val="Calibri"/>
        <family val="2"/>
        <charset val="204"/>
        <scheme val="minor"/>
      </rPr>
      <t/>
    </r>
  </si>
  <si>
    <t xml:space="preserve"> Членские взносы: </t>
  </si>
  <si>
    <t>1.</t>
  </si>
  <si>
    <t>2.</t>
  </si>
  <si>
    <r>
      <t xml:space="preserve">Если один или несколько из ваших участков попадают в категорию "инвесторский", то в оранжевом поле </t>
    </r>
    <r>
      <rPr>
        <b/>
        <sz val="11"/>
        <color theme="1"/>
        <rFont val="Calibri"/>
        <family val="2"/>
        <charset val="204"/>
        <scheme val="minor"/>
      </rPr>
      <t xml:space="preserve">И </t>
    </r>
    <r>
      <rPr>
        <sz val="11"/>
        <color theme="1"/>
        <rFont val="Calibri"/>
        <family val="2"/>
        <charset val="204"/>
        <scheme val="minor"/>
      </rPr>
      <t xml:space="preserve"> вбиваете общую площадь вашего инвесторского участка (как в договоре - в виде Х,ХХ).</t>
    </r>
  </si>
  <si>
    <t>Правила и принципы расчетов взносов</t>
  </si>
  <si>
    <r>
      <rPr>
        <b/>
        <sz val="11"/>
        <rFont val="Calibri"/>
      </rPr>
      <t>"25+"</t>
    </r>
    <r>
      <rPr>
        <sz val="11"/>
        <rFont val="Calibri"/>
      </rPr>
      <t xml:space="preserve"> - участки одного собственника совокупной площадью свыше 25 соток определены нами, как очень большие.</t>
    </r>
  </si>
  <si>
    <r>
      <rPr>
        <b/>
        <sz val="11"/>
        <color theme="1"/>
        <rFont val="Calibri"/>
        <family val="2"/>
        <charset val="204"/>
        <scheme val="minor"/>
      </rPr>
      <t>"Базовый"</t>
    </r>
    <r>
      <rPr>
        <sz val="11"/>
        <color theme="1"/>
        <rFont val="Calibri"/>
        <family val="2"/>
        <charset val="204"/>
        <scheme val="minor"/>
      </rPr>
      <t xml:space="preserve"> - участок или участки земли одного собственника совокупной площадью меньше 17 соток. </t>
    </r>
  </si>
  <si>
    <r>
      <rPr>
        <b/>
        <sz val="11"/>
        <rFont val="Calibri"/>
      </rPr>
      <t>"17-25"</t>
    </r>
    <r>
      <rPr>
        <sz val="11"/>
        <rFont val="Calibri"/>
      </rPr>
      <t xml:space="preserve"> - участок или участки одного собственника совокупной площадью свыше 17 соток, но менее 25 определены нами, как большие участки, т.к. минимальная площадь</t>
    </r>
  </si>
  <si>
    <t xml:space="preserve"> Для получения вновь льготных условий оплаты необходимо погасить всю имеющуюся задолженность за предыдущие периоды по полному тарифу без применения скидок.  </t>
  </si>
  <si>
    <t>3.</t>
  </si>
  <si>
    <t>В строке "Итого" вы увидите общий расчет членских взносов за месяц, за квартал и за год.</t>
  </si>
  <si>
    <t>4.</t>
  </si>
  <si>
    <t>5.</t>
  </si>
  <si>
    <t>6.</t>
  </si>
  <si>
    <t>7.</t>
  </si>
  <si>
    <t xml:space="preserve"> Для расчета размера своих целевых взносов просто внесите общее кол-во соток в собственности (без учета категорий)  в оранжевую ячейку. На целевые взносы скидки не предусмотрены.</t>
  </si>
  <si>
    <t>Членские взносы</t>
  </si>
  <si>
    <t>Целевые взносы</t>
  </si>
  <si>
    <t>общее кол-во соток в собственности</t>
  </si>
  <si>
    <t>целевой взнос в квартал</t>
  </si>
  <si>
    <t>17 - 25</t>
  </si>
  <si>
    <t xml:space="preserve"> При невыполнении условий оплаты данные скидки аннулируются. </t>
  </si>
  <si>
    <t>Стоимость одной сотки в год</t>
  </si>
  <si>
    <t>Статьи расходов</t>
  </si>
  <si>
    <t>№</t>
  </si>
  <si>
    <t>Итого:</t>
  </si>
  <si>
    <t>Участки земли в пределах ТСН "Раздолье", купленые когда-либо у Погорелова и ДПК "Раздолье" на которых нет никаких построек.</t>
  </si>
  <si>
    <t>*50% стоимости.</t>
  </si>
  <si>
    <t xml:space="preserve"> двух участков в собственности одного владельца в нашем поселке составляет 17,02 соток.</t>
  </si>
  <si>
    <t>Скидки:</t>
  </si>
  <si>
    <t>Скидка предоставляется собственникам участков совокупной площадью участка или участков (без учета "инвесторских" участков) более 25 соток в размере 25% на каждую последующую сотку свыше  25 соток.</t>
  </si>
  <si>
    <t>Скидка предоставляется собственникам участков совокупной площадью участка или участков (без учета "инвесторских" участков) более 17 соток в размере 20% на каждую последующую сотку свыше 17 и до 25 соток.</t>
  </si>
  <si>
    <t>Поймите к какой категории относится ваш участок или участки:</t>
  </si>
  <si>
    <r>
      <rPr>
        <b/>
        <sz val="11"/>
        <rFont val="Calibri"/>
      </rPr>
      <t>"И"</t>
    </r>
    <r>
      <rPr>
        <sz val="11"/>
        <rFont val="Calibri"/>
      </rPr>
      <t xml:space="preserve"> - "Инвесторские"- участки земли в пределах ТСН "Раздолье", купленые когда-либо у Погорелова и ДПК "Раздолье" на которых нет никаких построек.</t>
    </r>
  </si>
  <si>
    <r>
      <rPr>
        <b/>
        <sz val="11"/>
        <color theme="1"/>
        <rFont val="Calibri"/>
        <family val="2"/>
        <charset val="204"/>
        <scheme val="minor"/>
      </rPr>
      <t>"Базовый"</t>
    </r>
    <r>
      <rPr>
        <sz val="11"/>
        <color theme="1"/>
        <rFont val="Calibri"/>
        <family val="2"/>
        <charset val="204"/>
        <scheme val="minor"/>
      </rPr>
      <t xml:space="preserve">, если общая площадь вашего участка (без учета "инвесторских") меньше 17 соток,  </t>
    </r>
  </si>
  <si>
    <r>
      <rPr>
        <b/>
        <sz val="11"/>
        <color theme="1"/>
        <rFont val="Calibri"/>
        <family val="2"/>
        <charset val="204"/>
        <scheme val="minor"/>
      </rPr>
      <t xml:space="preserve">"17-25" - </t>
    </r>
    <r>
      <rPr>
        <sz val="11"/>
        <color theme="1"/>
        <rFont val="Calibri"/>
        <family val="2"/>
        <charset val="204"/>
        <scheme val="minor"/>
      </rPr>
      <t>если общая площадь ваших участков (без учета "инвесторских") больше 17, но меньше 25 соток,</t>
    </r>
  </si>
  <si>
    <r>
      <rPr>
        <b/>
        <sz val="11"/>
        <color theme="1"/>
        <rFont val="Calibri"/>
        <family val="2"/>
        <charset val="204"/>
        <scheme val="minor"/>
      </rPr>
      <t xml:space="preserve">"25+"  - </t>
    </r>
    <r>
      <rPr>
        <sz val="11"/>
        <color theme="1"/>
        <rFont val="Calibri"/>
        <family val="2"/>
        <charset val="204"/>
        <scheme val="minor"/>
      </rPr>
      <t xml:space="preserve">если общая площадь площадь ваших участков (без учета "инвесторских") больше 25 соток. </t>
    </r>
  </si>
  <si>
    <t>Особые условия</t>
  </si>
  <si>
    <t>8.</t>
  </si>
  <si>
    <t>9.</t>
  </si>
  <si>
    <t>Итого всех взносов:</t>
  </si>
  <si>
    <t xml:space="preserve">Владельцы "инвесторских" участков получают возможность применения данного тарифа при условии единовременной оплаты членских и целевых взносов за год. </t>
  </si>
  <si>
    <r>
      <t xml:space="preserve"> Владельцы участков попадающих в категории </t>
    </r>
    <r>
      <rPr>
        <b/>
        <sz val="11"/>
        <color theme="1"/>
        <rFont val="Calibri"/>
        <family val="2"/>
        <charset val="204"/>
        <scheme val="minor"/>
      </rPr>
      <t>"17 - 25"</t>
    </r>
    <r>
      <rPr>
        <sz val="11"/>
        <color theme="1"/>
        <rFont val="Calibri"/>
        <family val="2"/>
        <charset val="204"/>
        <scheme val="minor"/>
      </rPr>
      <t xml:space="preserve"> и </t>
    </r>
    <r>
      <rPr>
        <b/>
        <sz val="11"/>
        <color theme="1"/>
        <rFont val="Calibri"/>
        <family val="2"/>
        <charset val="204"/>
        <scheme val="minor"/>
      </rPr>
      <t>"25+"</t>
    </r>
    <r>
      <rPr>
        <sz val="11"/>
        <color theme="1"/>
        <rFont val="Calibri"/>
        <family val="2"/>
        <charset val="204"/>
        <scheme val="minor"/>
      </rPr>
      <t xml:space="preserve"> получают данную скидку при условии единовременной оплаты членских и целевых взносов не менее, чем за 3 месяца вперед (квартал). </t>
    </r>
  </si>
  <si>
    <t>членский взнос в мес              (скидка еще 5% сверх 25 соток)</t>
  </si>
  <si>
    <t>членский взнос в мес                  (скидка 20% за  сотку сверх 17 соток)</t>
  </si>
  <si>
    <t>Юрист</t>
  </si>
  <si>
    <t xml:space="preserve">Проведение мероприятий поселка </t>
  </si>
  <si>
    <t xml:space="preserve">2 очередь </t>
  </si>
  <si>
    <t>Б</t>
  </si>
  <si>
    <t>Смета расходов ТСН "Раздолье" на 2019-20 год.</t>
  </si>
  <si>
    <t>Менеджер поселка</t>
  </si>
  <si>
    <t>Контроль качества воды. Чистка дна в местах купания, планировка пляжа, разуклонка,  спорт площадка, водоотвод,  завоз песка на пляж. отсыпка (щебень),  скамейки.</t>
  </si>
  <si>
    <t>Установка  ворот и  автоматики</t>
  </si>
  <si>
    <t>Планировка территории, объединение въезда 1-ой и 2-ой очереди (Демонтаж/монтаж забора, ворот, демонтаж/монтаж автоматики)</t>
  </si>
  <si>
    <t>Отделка въездной группы планкеном с подсветкой</t>
  </si>
  <si>
    <t>*с ноября по конец апреля - 10 000 /мес., с мая по конец сентября 40 000/мес. Пенсионер из ближайших населенных пунктов.</t>
  </si>
  <si>
    <t>Охрана 1</t>
  </si>
  <si>
    <t>Охрана 2</t>
  </si>
  <si>
    <t>Штраф за выброс строительного мусора</t>
  </si>
  <si>
    <t>Содержание имущества общего пользования (ОП)  (забор, шлагбаум-ворота, охрана, офис, площадка для мусора, гостевая парковка, детская площадка, озеро, пляж, мостки, территория и МАФ у озера)</t>
  </si>
  <si>
    <t xml:space="preserve">Налог при УСН </t>
  </si>
  <si>
    <t>Cотовая связь охраны</t>
  </si>
  <si>
    <t>* не считаем</t>
  </si>
  <si>
    <t>Помощник председателя 1 (Электричество) Атякшев С.</t>
  </si>
  <si>
    <t>Помощник председателя 2 (Сергей охранник)</t>
  </si>
  <si>
    <t>Помощник председателя3  (Иван охранник)</t>
  </si>
  <si>
    <t>Бухгалтерское обслуживание (Аутсорс)</t>
  </si>
  <si>
    <t xml:space="preserve">Домик охраны: Утепление, замена пола, двускатная кровля, замена старых окон, добавление еще одного окна, свайно-винтовой фудамент, перенос ближе к въезду, обшивка имитацией бруса, обшивка изнутри вагонкой, отделка цоколя, покраска. </t>
  </si>
  <si>
    <t xml:space="preserve">Общее эл-во (освещение, домик охраны, офис, шлагбаум) </t>
  </si>
  <si>
    <t>Потери в сетях</t>
  </si>
  <si>
    <t xml:space="preserve">Укрепление плит, ремонт, расширение, разуклонка и организация ливневок, отсыпка щебнем и асф.крошкой  отрезка подъедной дороги к поселку от нижней дамбы до "Английских дач". Частичное участие в оплате общей сметы АД в размере около 300 000 р. </t>
  </si>
  <si>
    <t xml:space="preserve">Установка видеонаблюдения у поста охраны (контроль въезда/выезда, вывоз мусора,  ночная съемка) </t>
  </si>
  <si>
    <t>Проезд тяжелой техники в период распутицы</t>
  </si>
  <si>
    <t>*мера вынужденная, т.к. утепление практически отсутствует, окна старые деревянные, выпадают при порыве ветра, пол местами прогнил. Раз уж нет денег на строительство нормальной въездной группы, или хотябы домика для охраны (минимальная стоимость по смете рассматриваемых вариантов домика была не менее 250 000), то решено было минимальными средствами утеплить имеющийся вагон, обшить его имитацией бруса в общем стиле будущей въездной группы.</t>
  </si>
  <si>
    <t>*не считаем</t>
  </si>
  <si>
    <t>Вторая очередь</t>
  </si>
  <si>
    <t>*считаем 50%</t>
  </si>
  <si>
    <t xml:space="preserve">Общее эл-во (освещение въезда, домик охраны, офис, шлагбаум) </t>
  </si>
  <si>
    <t>*приблизительно (в среднем) только освещение въезда и эл-ва охраны (отопление, освещение).</t>
  </si>
  <si>
    <t>Величина среднего участка в ТСН</t>
  </si>
  <si>
    <t xml:space="preserve">17+ </t>
  </si>
  <si>
    <t>Год</t>
  </si>
  <si>
    <t>Дефицит/ Профицит</t>
  </si>
  <si>
    <t>2 оч.</t>
  </si>
  <si>
    <t>Коэфф./</t>
  </si>
  <si>
    <t>Количество соток проданных ДПК "Раздолье"</t>
  </si>
  <si>
    <t xml:space="preserve">(4, 5, 6, 9, 10, 11, 13, 18, 21, 28, 29, 31, 33, 36, 44, 50, 51, 59, 60, 67, 70,  72, 75, 78, 79, 80, 81, 83) </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</si>
</sst>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204"/>
      <scheme val="minor"/>
    </font>
    <font>
      <sz val="12"/>
      <color theme="1"/>
      <name val="Calibri"/>
      <family val="2"/>
      <scheme val="minor"/>
    </font>
    <font>
      <sz val="12"/>
      <color theme="1"/>
      <name val="Calibri"/>
      <family val="2"/>
      <scheme val="minor"/>
    </font>
    <font>
      <b/>
      <sz val="11"/>
      <color theme="1"/>
      <name val="Calibri"/>
      <family val="2"/>
      <charset val="204"/>
      <scheme val="minor"/>
    </font>
    <font>
      <u/>
      <sz val="11"/>
      <color theme="10"/>
      <name val="Calibri"/>
      <family val="2"/>
      <charset val="204"/>
      <scheme val="minor"/>
    </font>
    <font>
      <u/>
      <sz val="11"/>
      <color theme="11"/>
      <name val="Calibri"/>
      <family val="2"/>
      <charset val="204"/>
      <scheme val="minor"/>
    </font>
    <font>
      <sz val="11"/>
      <color theme="0" tint="-0.249977111117893"/>
      <name val="Calibri"/>
      <scheme val="minor"/>
    </font>
    <font>
      <sz val="10"/>
      <name val="Calibri"/>
      <family val="2"/>
      <charset val="204"/>
    </font>
    <font>
      <sz val="9"/>
      <name val="Calibri"/>
      <family val="2"/>
      <charset val="204"/>
    </font>
    <font>
      <sz val="16"/>
      <color theme="1"/>
      <name val="Calibri"/>
      <scheme val="minor"/>
    </font>
    <font>
      <sz val="8"/>
      <name val="Calibri"/>
      <family val="2"/>
      <charset val="204"/>
      <scheme val="minor"/>
    </font>
    <font>
      <sz val="10"/>
      <name val="Calibri"/>
      <family val="2"/>
      <charset val="204"/>
    </font>
    <font>
      <sz val="18"/>
      <name val="Calibri"/>
      <family val="2"/>
      <charset val="204"/>
    </font>
    <font>
      <sz val="11"/>
      <name val="Calibri"/>
    </font>
    <font>
      <sz val="14"/>
      <color theme="1"/>
      <name val="Calibri"/>
      <scheme val="minor"/>
    </font>
    <font>
      <b/>
      <sz val="11"/>
      <name val="Calibri"/>
    </font>
    <font>
      <sz val="10"/>
      <color theme="1"/>
      <name val="Calibri"/>
      <scheme val="minor"/>
    </font>
    <font>
      <sz val="11"/>
      <color rgb="FF000000"/>
      <name val="Calibri"/>
      <family val="2"/>
      <charset val="204"/>
      <scheme val="minor"/>
    </font>
  </fonts>
  <fills count="11">
    <fill>
      <patternFill patternType="none"/>
    </fill>
    <fill>
      <patternFill patternType="gray125"/>
    </fill>
    <fill>
      <patternFill patternType="solid">
        <fgColor theme="9" tint="0.59999389629810485"/>
        <bgColor indexed="64"/>
      </patternFill>
    </fill>
    <fill>
      <patternFill patternType="solid">
        <fgColor theme="5"/>
        <bgColor indexed="64"/>
      </patternFill>
    </fill>
    <fill>
      <patternFill patternType="solid">
        <fgColor theme="0"/>
        <bgColor indexed="64"/>
      </patternFill>
    </fill>
    <fill>
      <patternFill patternType="solid">
        <fgColor theme="4" tint="0.59999389629810485"/>
        <bgColor indexed="64"/>
      </patternFill>
    </fill>
    <fill>
      <patternFill patternType="none"/>
    </fill>
    <fill>
      <patternFill patternType="none"/>
    </fill>
    <fill>
      <patternFill patternType="solid">
        <fgColor theme="9" tint="0.39997558519241921"/>
        <bgColor indexed="64"/>
      </patternFill>
    </fill>
    <fill>
      <patternFill patternType="solid">
        <fgColor rgb="FFED7D31"/>
        <bgColor rgb="FF000000"/>
      </patternFill>
    </fill>
    <fill>
      <patternFill patternType="solid">
        <fgColor theme="0" tint="-0.14999847407452621"/>
        <bgColor indexed="64"/>
      </patternFill>
    </fill>
  </fills>
  <borders count="17">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diagonal/>
    </border>
    <border>
      <left/>
      <right/>
      <top/>
      <bottom/>
      <diagonal/>
    </border>
    <border>
      <left/>
      <right/>
      <top/>
      <bottom/>
      <diagonal/>
    </border>
    <border>
      <left style="thin">
        <color auto="1"/>
      </left>
      <right/>
      <top/>
      <bottom style="thin">
        <color auto="1"/>
      </bottom>
      <diagonal/>
    </border>
    <border>
      <left/>
      <right/>
      <top/>
      <bottom/>
      <diagonal/>
    </border>
    <border>
      <left/>
      <right/>
      <top/>
      <bottom/>
      <diagonal/>
    </border>
    <border>
      <left style="thin">
        <color auto="1"/>
      </left>
      <right style="thin">
        <color auto="1"/>
      </right>
      <top style="thin">
        <color auto="1"/>
      </top>
      <bottom/>
      <diagonal/>
    </border>
    <border>
      <left/>
      <right/>
      <top/>
      <bottom/>
      <diagonal/>
    </border>
    <border>
      <left style="thin">
        <color auto="1"/>
      </left>
      <right/>
      <top/>
      <bottom/>
      <diagonal/>
    </border>
    <border>
      <left/>
      <right/>
      <top/>
      <bottom style="medium">
        <color auto="1"/>
      </bottom>
      <diagonal/>
    </border>
    <border>
      <left style="thin">
        <color auto="1"/>
      </left>
      <right style="thin">
        <color auto="1"/>
      </right>
      <top/>
      <bottom style="thin">
        <color auto="1"/>
      </bottom>
      <diagonal/>
    </border>
    <border>
      <left/>
      <right/>
      <top/>
      <bottom/>
      <diagonal/>
    </border>
  </borders>
  <cellStyleXfs count="221">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206">
    <xf numFmtId="0" fontId="0" fillId="0" borderId="0" xfId="0"/>
    <xf numFmtId="4" fontId="0" fillId="3" borderId="1" xfId="0" applyNumberFormat="1" applyFill="1" applyBorder="1"/>
    <xf numFmtId="4" fontId="0" fillId="3" borderId="1" xfId="0" applyNumberFormat="1" applyFont="1" applyFill="1" applyBorder="1" applyAlignment="1" applyProtection="1"/>
    <xf numFmtId="0" fontId="0" fillId="4" borderId="0" xfId="0" applyFill="1"/>
    <xf numFmtId="0" fontId="0" fillId="4" borderId="9" xfId="0" applyNumberFormat="1" applyFont="1" applyFill="1" applyBorder="1" applyAlignment="1" applyProtection="1"/>
    <xf numFmtId="0" fontId="0" fillId="4" borderId="0" xfId="0" applyFill="1" applyAlignment="1">
      <alignment horizontal="center"/>
    </xf>
    <xf numFmtId="0" fontId="0" fillId="4" borderId="0" xfId="0" applyFill="1" applyAlignment="1">
      <alignment horizontal="left"/>
    </xf>
    <xf numFmtId="0" fontId="0" fillId="4" borderId="5" xfId="0" applyNumberFormat="1" applyFont="1" applyFill="1" applyBorder="1"/>
    <xf numFmtId="0" fontId="0" fillId="4" borderId="6" xfId="0" applyNumberFormat="1" applyFont="1" applyFill="1" applyBorder="1"/>
    <xf numFmtId="0" fontId="0" fillId="4" borderId="7" xfId="0" applyNumberFormat="1" applyFont="1" applyFill="1" applyBorder="1"/>
    <xf numFmtId="0" fontId="0" fillId="4" borderId="9" xfId="0" applyNumberFormat="1" applyFont="1" applyFill="1" applyBorder="1"/>
    <xf numFmtId="0" fontId="0" fillId="4" borderId="0" xfId="0" applyFill="1" applyBorder="1"/>
    <xf numFmtId="0" fontId="6" fillId="4" borderId="0" xfId="0" applyFont="1" applyFill="1" applyAlignment="1">
      <alignment horizontal="center"/>
    </xf>
    <xf numFmtId="0" fontId="0" fillId="4" borderId="0" xfId="0" applyNumberFormat="1" applyFont="1" applyFill="1" applyBorder="1" applyAlignment="1" applyProtection="1"/>
    <xf numFmtId="0" fontId="0" fillId="4" borderId="0" xfId="0" applyFill="1" applyAlignment="1">
      <alignment horizontal="center" wrapText="1"/>
    </xf>
    <xf numFmtId="0" fontId="0" fillId="4" borderId="2" xfId="0" applyFill="1" applyBorder="1" applyAlignment="1">
      <alignment horizontal="center"/>
    </xf>
    <xf numFmtId="0" fontId="0" fillId="4" borderId="2" xfId="0" applyFill="1" applyBorder="1"/>
    <xf numFmtId="4" fontId="0" fillId="4" borderId="2" xfId="0" applyNumberFormat="1" applyFill="1" applyBorder="1"/>
    <xf numFmtId="4" fontId="0" fillId="4" borderId="0" xfId="0" applyNumberFormat="1" applyFill="1" applyBorder="1"/>
    <xf numFmtId="0" fontId="0" fillId="4" borderId="2" xfId="0" applyNumberFormat="1" applyFont="1" applyFill="1" applyBorder="1" applyAlignment="1" applyProtection="1"/>
    <xf numFmtId="0" fontId="0" fillId="4" borderId="3" xfId="0" applyFill="1" applyBorder="1" applyAlignment="1">
      <alignment horizontal="center"/>
    </xf>
    <xf numFmtId="0" fontId="0" fillId="4" borderId="2" xfId="0" applyNumberFormat="1" applyFont="1" applyFill="1" applyBorder="1" applyAlignment="1" applyProtection="1">
      <alignment wrapText="1" shrinkToFit="1"/>
    </xf>
    <xf numFmtId="0" fontId="0" fillId="4" borderId="2" xfId="0" applyNumberFormat="1" applyFont="1" applyFill="1" applyBorder="1" applyAlignment="1" applyProtection="1">
      <alignment shrinkToFit="1"/>
    </xf>
    <xf numFmtId="0" fontId="7" fillId="4" borderId="0" xfId="0" applyNumberFormat="1" applyFont="1" applyFill="1" applyBorder="1"/>
    <xf numFmtId="4" fontId="0" fillId="4" borderId="0" xfId="0" applyNumberFormat="1" applyFill="1"/>
    <xf numFmtId="0" fontId="0" fillId="4" borderId="2" xfId="0" applyNumberFormat="1" applyFont="1" applyFill="1" applyBorder="1" applyAlignment="1" applyProtection="1">
      <alignment horizontal="center"/>
    </xf>
    <xf numFmtId="4" fontId="0" fillId="4" borderId="0" xfId="0" applyNumberFormat="1" applyFont="1" applyFill="1" applyBorder="1" applyAlignment="1" applyProtection="1">
      <alignment wrapText="1"/>
    </xf>
    <xf numFmtId="0" fontId="0" fillId="4" borderId="0" xfId="0" applyNumberFormat="1" applyFont="1" applyFill="1" applyBorder="1" applyAlignment="1" applyProtection="1">
      <alignment horizontal="center"/>
    </xf>
    <xf numFmtId="0" fontId="0" fillId="4" borderId="10" xfId="0" applyNumberFormat="1" applyFont="1" applyFill="1" applyBorder="1" applyAlignment="1" applyProtection="1"/>
    <xf numFmtId="4" fontId="0" fillId="2" borderId="1" xfId="0" applyNumberFormat="1" applyFill="1" applyBorder="1"/>
    <xf numFmtId="0" fontId="0" fillId="4" borderId="2" xfId="0" applyFill="1" applyBorder="1" applyAlignment="1">
      <alignment wrapText="1" shrinkToFit="1"/>
    </xf>
    <xf numFmtId="0" fontId="0" fillId="4" borderId="12" xfId="0" applyNumberFormat="1" applyFont="1" applyFill="1" applyBorder="1"/>
    <xf numFmtId="0" fontId="0" fillId="4" borderId="14" xfId="0" applyFill="1" applyBorder="1"/>
    <xf numFmtId="0" fontId="0" fillId="4" borderId="14" xfId="0" applyNumberFormat="1" applyFont="1" applyFill="1" applyBorder="1" applyAlignment="1" applyProtection="1"/>
    <xf numFmtId="0" fontId="0" fillId="4" borderId="14" xfId="0" applyNumberFormat="1" applyFont="1" applyFill="1" applyBorder="1" applyAlignment="1" applyProtection="1">
      <alignment horizontal="center"/>
    </xf>
    <xf numFmtId="0" fontId="0" fillId="4" borderId="12" xfId="0" applyFill="1" applyBorder="1"/>
    <xf numFmtId="0" fontId="13" fillId="4" borderId="12" xfId="0" applyNumberFormat="1" applyFont="1" applyFill="1" applyBorder="1" applyAlignment="1" applyProtection="1">
      <alignment horizontal="left" vertical="center"/>
    </xf>
    <xf numFmtId="4" fontId="0" fillId="4" borderId="12" xfId="0" applyNumberFormat="1" applyFont="1" applyFill="1" applyBorder="1" applyAlignment="1" applyProtection="1"/>
    <xf numFmtId="0" fontId="11" fillId="4" borderId="12" xfId="0" applyNumberFormat="1" applyFont="1" applyFill="1" applyBorder="1" applyAlignment="1" applyProtection="1"/>
    <xf numFmtId="0" fontId="0" fillId="4" borderId="12" xfId="0" applyNumberFormat="1" applyFont="1" applyFill="1" applyBorder="1" applyAlignment="1" applyProtection="1"/>
    <xf numFmtId="4" fontId="0" fillId="4" borderId="0" xfId="0" applyNumberFormat="1" applyFill="1" applyAlignment="1">
      <alignment horizontal="center"/>
    </xf>
    <xf numFmtId="0" fontId="0" fillId="4" borderId="12" xfId="0" applyNumberFormat="1" applyFont="1" applyFill="1" applyBorder="1" applyAlignment="1" applyProtection="1">
      <alignment horizontal="center" vertical="center"/>
    </xf>
    <xf numFmtId="0" fontId="0" fillId="4" borderId="12" xfId="0" applyNumberFormat="1" applyFont="1" applyFill="1" applyBorder="1" applyAlignment="1" applyProtection="1">
      <alignment horizontal="center" vertical="center"/>
    </xf>
    <xf numFmtId="4" fontId="0" fillId="4" borderId="12" xfId="0" applyNumberFormat="1" applyFill="1" applyBorder="1"/>
    <xf numFmtId="0" fontId="0" fillId="4" borderId="2" xfId="0" applyFill="1" applyBorder="1" applyAlignment="1">
      <alignment horizontal="right"/>
    </xf>
    <xf numFmtId="0" fontId="0" fillId="4" borderId="2" xfId="0" applyNumberFormat="1" applyFont="1" applyFill="1" applyBorder="1"/>
    <xf numFmtId="4" fontId="0" fillId="4" borderId="2" xfId="0" applyNumberFormat="1" applyFont="1" applyFill="1" applyBorder="1"/>
    <xf numFmtId="4" fontId="0" fillId="4" borderId="12" xfId="0" applyNumberFormat="1" applyFill="1" applyBorder="1" applyAlignment="1">
      <alignment horizontal="right"/>
    </xf>
    <xf numFmtId="0" fontId="0" fillId="4" borderId="0" xfId="0" applyFill="1" applyAlignment="1">
      <alignment horizontal="right"/>
    </xf>
    <xf numFmtId="0" fontId="0" fillId="4" borderId="0" xfId="0" applyFill="1" applyAlignment="1">
      <alignment wrapText="1"/>
    </xf>
    <xf numFmtId="0" fontId="0" fillId="4" borderId="0" xfId="0" applyFill="1" applyAlignment="1"/>
    <xf numFmtId="0" fontId="8" fillId="4" borderId="12" xfId="0" applyNumberFormat="1" applyFont="1" applyFill="1" applyBorder="1" applyAlignment="1">
      <alignment horizontal="center" vertical="center"/>
    </xf>
    <xf numFmtId="0" fontId="6" fillId="4" borderId="0" xfId="0" applyFont="1" applyFill="1" applyAlignment="1"/>
    <xf numFmtId="0" fontId="14" fillId="4" borderId="0" xfId="0" applyFont="1" applyFill="1" applyAlignment="1"/>
    <xf numFmtId="0" fontId="14" fillId="4" borderId="0" xfId="0" applyFont="1" applyFill="1" applyAlignment="1">
      <alignment horizontal="center"/>
    </xf>
    <xf numFmtId="4" fontId="7" fillId="4" borderId="12" xfId="0" applyNumberFormat="1" applyFont="1" applyFill="1" applyBorder="1" applyAlignment="1">
      <alignment horizontal="center" wrapText="1"/>
    </xf>
    <xf numFmtId="0" fontId="7" fillId="4" borderId="12" xfId="0" applyNumberFormat="1" applyFont="1" applyFill="1" applyBorder="1" applyAlignment="1">
      <alignment horizontal="center" wrapText="1"/>
    </xf>
    <xf numFmtId="4" fontId="11" fillId="4" borderId="12" xfId="0" applyNumberFormat="1" applyFont="1" applyFill="1" applyBorder="1" applyAlignment="1" applyProtection="1">
      <alignment horizontal="center" wrapText="1"/>
    </xf>
    <xf numFmtId="0" fontId="0" fillId="4" borderId="12" xfId="0" applyFill="1" applyBorder="1" applyAlignment="1">
      <alignment horizontal="center" vertical="top" wrapText="1"/>
    </xf>
    <xf numFmtId="0" fontId="7" fillId="4" borderId="12" xfId="0" applyNumberFormat="1" applyFont="1" applyFill="1" applyBorder="1"/>
    <xf numFmtId="4" fontId="0" fillId="4" borderId="12" xfId="0" applyNumberFormat="1" applyFont="1" applyFill="1" applyBorder="1"/>
    <xf numFmtId="0" fontId="0" fillId="4" borderId="12" xfId="0" applyFill="1" applyBorder="1" applyAlignment="1">
      <alignment vertical="center" wrapText="1"/>
    </xf>
    <xf numFmtId="0" fontId="0" fillId="4" borderId="12" xfId="0" applyFill="1" applyBorder="1" applyAlignment="1">
      <alignment horizontal="right"/>
    </xf>
    <xf numFmtId="0" fontId="14" fillId="4" borderId="0" xfId="0" applyFont="1" applyFill="1"/>
    <xf numFmtId="0" fontId="9" fillId="4" borderId="0" xfId="0" applyFont="1" applyFill="1"/>
    <xf numFmtId="0" fontId="0" fillId="4" borderId="12" xfId="0" applyFill="1" applyBorder="1" applyAlignment="1">
      <alignment horizontal="center"/>
    </xf>
    <xf numFmtId="0" fontId="0" fillId="4" borderId="2" xfId="0" applyNumberFormat="1" applyFont="1" applyFill="1" applyBorder="1" applyAlignment="1" applyProtection="1">
      <alignment wrapText="1"/>
    </xf>
    <xf numFmtId="0" fontId="0" fillId="4" borderId="2" xfId="0" applyNumberFormat="1" applyFont="1" applyFill="1" applyBorder="1" applyAlignment="1">
      <alignment wrapText="1" shrinkToFit="1"/>
    </xf>
    <xf numFmtId="0" fontId="0" fillId="4" borderId="2" xfId="0" applyNumberFormat="1" applyFont="1" applyFill="1" applyBorder="1" applyAlignment="1">
      <alignment horizontal="center"/>
    </xf>
    <xf numFmtId="0" fontId="12" fillId="4" borderId="12" xfId="0" applyNumberFormat="1" applyFont="1" applyFill="1" applyBorder="1" applyAlignment="1" applyProtection="1"/>
    <xf numFmtId="0" fontId="2" fillId="4" borderId="0" xfId="0" applyFont="1" applyFill="1"/>
    <xf numFmtId="0" fontId="2" fillId="4" borderId="0" xfId="0" applyFont="1" applyFill="1" applyAlignment="1">
      <alignment horizontal="center"/>
    </xf>
    <xf numFmtId="0" fontId="0" fillId="4" borderId="2" xfId="0" applyFont="1" applyFill="1" applyBorder="1"/>
    <xf numFmtId="0" fontId="0" fillId="4" borderId="2" xfId="0" applyFont="1" applyFill="1" applyBorder="1" applyAlignment="1">
      <alignment horizontal="center"/>
    </xf>
    <xf numFmtId="0" fontId="0" fillId="4" borderId="2" xfId="0" applyFont="1" applyFill="1" applyBorder="1" applyAlignment="1">
      <alignment horizontal="center" wrapText="1"/>
    </xf>
    <xf numFmtId="0" fontId="0" fillId="4" borderId="13" xfId="0" applyFill="1" applyBorder="1"/>
    <xf numFmtId="4" fontId="0" fillId="4" borderId="2" xfId="0" applyNumberFormat="1" applyFont="1" applyFill="1" applyBorder="1" applyAlignment="1">
      <alignment horizontal="center"/>
    </xf>
    <xf numFmtId="4" fontId="0" fillId="4" borderId="14" xfId="0" applyNumberFormat="1" applyFont="1" applyFill="1" applyBorder="1" applyAlignment="1" applyProtection="1"/>
    <xf numFmtId="0" fontId="2" fillId="4" borderId="0" xfId="0" applyFont="1" applyFill="1" applyAlignment="1">
      <alignment horizontal="left"/>
    </xf>
    <xf numFmtId="4" fontId="2" fillId="4" borderId="0" xfId="0" applyNumberFormat="1" applyFont="1" applyFill="1"/>
    <xf numFmtId="4" fontId="0" fillId="2" borderId="1" xfId="0" applyNumberFormat="1" applyFont="1" applyFill="1" applyBorder="1"/>
    <xf numFmtId="0" fontId="9" fillId="4" borderId="0" xfId="0" applyFont="1" applyFill="1" applyAlignment="1"/>
    <xf numFmtId="0" fontId="0" fillId="4" borderId="0" xfId="0" applyFont="1" applyFill="1"/>
    <xf numFmtId="4" fontId="0" fillId="2" borderId="2" xfId="0" applyNumberFormat="1" applyFill="1" applyBorder="1"/>
    <xf numFmtId="0" fontId="9" fillId="5" borderId="0" xfId="0" applyFont="1" applyFill="1"/>
    <xf numFmtId="0" fontId="0" fillId="5" borderId="0" xfId="0" applyFill="1"/>
    <xf numFmtId="0" fontId="0" fillId="4" borderId="12" xfId="0" applyNumberFormat="1" applyFont="1" applyFill="1" applyBorder="1" applyAlignment="1" applyProtection="1">
      <alignment horizontal="center" vertical="center"/>
    </xf>
    <xf numFmtId="4" fontId="0" fillId="4" borderId="11" xfId="0" applyNumberFormat="1" applyFill="1" applyBorder="1"/>
    <xf numFmtId="4" fontId="0" fillId="4" borderId="2" xfId="0" applyNumberFormat="1" applyFont="1" applyFill="1" applyBorder="1" applyAlignment="1" applyProtection="1"/>
    <xf numFmtId="0" fontId="0" fillId="6" borderId="2" xfId="0" applyNumberFormat="1" applyFont="1" applyFill="1" applyBorder="1"/>
    <xf numFmtId="0" fontId="3" fillId="6" borderId="2" xfId="0" applyNumberFormat="1" applyFont="1" applyFill="1" applyBorder="1"/>
    <xf numFmtId="0" fontId="0" fillId="6" borderId="2" xfId="0" applyNumberFormat="1" applyFont="1" applyFill="1" applyBorder="1" applyAlignment="1">
      <alignment horizontal="center"/>
    </xf>
    <xf numFmtId="4" fontId="0" fillId="6" borderId="2" xfId="0" applyNumberFormat="1" applyFont="1" applyFill="1" applyBorder="1"/>
    <xf numFmtId="4" fontId="0" fillId="7" borderId="2" xfId="0" applyNumberFormat="1" applyFont="1" applyFill="1" applyBorder="1"/>
    <xf numFmtId="0" fontId="0" fillId="7" borderId="2" xfId="0" applyNumberFormat="1" applyFont="1" applyFill="1" applyBorder="1"/>
    <xf numFmtId="0" fontId="0" fillId="7" borderId="2" xfId="0" applyNumberFormat="1" applyFont="1" applyFill="1" applyBorder="1" applyAlignment="1">
      <alignment horizontal="center"/>
    </xf>
    <xf numFmtId="0" fontId="0" fillId="4" borderId="0" xfId="0" applyNumberFormat="1" applyFont="1" applyFill="1" applyBorder="1" applyAlignment="1" applyProtection="1"/>
    <xf numFmtId="4" fontId="0" fillId="0" borderId="16" xfId="0" applyNumberFormat="1" applyFont="1" applyFill="1" applyBorder="1" applyAlignment="1" applyProtection="1">
      <alignment horizontal="center"/>
    </xf>
    <xf numFmtId="4" fontId="0" fillId="4" borderId="3" xfId="0" applyNumberFormat="1" applyFont="1" applyFill="1" applyBorder="1"/>
    <xf numFmtId="4" fontId="0" fillId="4" borderId="15" xfId="0" applyNumberFormat="1" applyFont="1" applyFill="1" applyBorder="1"/>
    <xf numFmtId="0" fontId="0" fillId="4" borderId="2" xfId="0" applyNumberFormat="1" applyFont="1" applyFill="1" applyBorder="1" applyAlignment="1" applyProtection="1">
      <alignment wrapText="1"/>
    </xf>
    <xf numFmtId="0" fontId="0" fillId="4" borderId="2" xfId="0" applyNumberFormat="1" applyFont="1" applyFill="1" applyBorder="1" applyAlignment="1" applyProtection="1"/>
    <xf numFmtId="4" fontId="0" fillId="4" borderId="3" xfId="0" applyNumberFormat="1" applyFont="1" applyFill="1" applyBorder="1" applyAlignment="1" applyProtection="1"/>
    <xf numFmtId="0" fontId="0" fillId="4" borderId="13" xfId="0" applyNumberFormat="1" applyFont="1" applyFill="1" applyBorder="1" applyAlignment="1" applyProtection="1">
      <alignment horizontal="center" vertical="center" wrapText="1"/>
    </xf>
    <xf numFmtId="4" fontId="0" fillId="4" borderId="16" xfId="0" applyNumberFormat="1" applyFill="1" applyBorder="1"/>
    <xf numFmtId="0" fontId="0" fillId="4" borderId="16" xfId="0" applyNumberFormat="1" applyFont="1" applyFill="1" applyBorder="1" applyAlignment="1" applyProtection="1">
      <alignment horizontal="center" vertical="center"/>
    </xf>
    <xf numFmtId="0" fontId="0" fillId="4" borderId="16" xfId="0" applyFill="1" applyBorder="1"/>
    <xf numFmtId="4" fontId="0" fillId="4" borderId="8" xfId="0" applyNumberFormat="1" applyFont="1" applyFill="1" applyBorder="1" applyAlignment="1" applyProtection="1"/>
    <xf numFmtId="0" fontId="0" fillId="4" borderId="16" xfId="0" applyNumberFormat="1" applyFont="1" applyFill="1" applyBorder="1" applyAlignment="1" applyProtection="1">
      <alignment horizontal="center" vertical="center" wrapText="1"/>
    </xf>
    <xf numFmtId="0" fontId="0" fillId="4" borderId="16" xfId="0" applyNumberFormat="1" applyFont="1" applyFill="1" applyBorder="1" applyAlignment="1" applyProtection="1">
      <alignment horizontal="center" vertical="center"/>
    </xf>
    <xf numFmtId="0" fontId="0" fillId="4" borderId="13" xfId="0" applyNumberFormat="1" applyFont="1" applyFill="1" applyBorder="1" applyAlignment="1" applyProtection="1">
      <alignment horizontal="left" vertical="center" wrapText="1"/>
    </xf>
    <xf numFmtId="0" fontId="0" fillId="4" borderId="12" xfId="0" applyNumberFormat="1" applyFont="1" applyFill="1" applyBorder="1" applyAlignment="1" applyProtection="1">
      <alignment horizontal="center" vertical="center"/>
    </xf>
    <xf numFmtId="0" fontId="0" fillId="4" borderId="16" xfId="0" applyNumberFormat="1" applyFont="1" applyFill="1" applyBorder="1" applyAlignment="1" applyProtection="1">
      <alignment horizontal="center" vertical="center"/>
    </xf>
    <xf numFmtId="0" fontId="0" fillId="4" borderId="13" xfId="0" applyNumberFormat="1" applyFont="1" applyFill="1" applyBorder="1" applyAlignment="1" applyProtection="1">
      <alignment horizontal="left" vertical="center" wrapText="1"/>
    </xf>
    <xf numFmtId="0" fontId="0" fillId="6" borderId="15" xfId="0" applyNumberFormat="1" applyFont="1" applyFill="1" applyBorder="1"/>
    <xf numFmtId="0" fontId="0" fillId="4" borderId="16" xfId="0" applyFill="1" applyBorder="1" applyAlignment="1">
      <alignment horizontal="center"/>
    </xf>
    <xf numFmtId="3" fontId="0" fillId="4" borderId="2" xfId="0" applyNumberFormat="1" applyFill="1" applyBorder="1" applyAlignment="1">
      <alignment horizontal="center"/>
    </xf>
    <xf numFmtId="3" fontId="0" fillId="4" borderId="2" xfId="0" applyNumberFormat="1" applyFont="1" applyFill="1" applyBorder="1" applyAlignment="1">
      <alignment horizontal="center"/>
    </xf>
    <xf numFmtId="3" fontId="0" fillId="4" borderId="2" xfId="0" applyNumberFormat="1" applyFont="1" applyFill="1" applyBorder="1" applyAlignment="1" applyProtection="1">
      <alignment horizontal="center"/>
    </xf>
    <xf numFmtId="4" fontId="0" fillId="4" borderId="3" xfId="0" applyNumberFormat="1" applyFill="1" applyBorder="1"/>
    <xf numFmtId="0" fontId="0" fillId="4" borderId="16" xfId="0" applyNumberFormat="1" applyFont="1" applyFill="1" applyBorder="1" applyAlignment="1" applyProtection="1">
      <alignment horizontal="left" vertical="center" wrapText="1"/>
    </xf>
    <xf numFmtId="0" fontId="0" fillId="4" borderId="13" xfId="0" applyNumberFormat="1" applyFont="1" applyFill="1" applyBorder="1" applyAlignment="1" applyProtection="1">
      <alignment horizontal="center" vertical="center" wrapText="1"/>
    </xf>
    <xf numFmtId="0" fontId="0" fillId="4" borderId="16" xfId="0" applyNumberFormat="1" applyFont="1" applyFill="1" applyBorder="1" applyAlignment="1" applyProtection="1"/>
    <xf numFmtId="0" fontId="0" fillId="4" borderId="16" xfId="0" applyNumberFormat="1" applyFont="1" applyFill="1" applyBorder="1" applyAlignment="1" applyProtection="1">
      <alignment horizontal="center"/>
    </xf>
    <xf numFmtId="4" fontId="0" fillId="4" borderId="16" xfId="0" applyNumberFormat="1" applyFont="1" applyFill="1" applyBorder="1" applyAlignment="1" applyProtection="1"/>
    <xf numFmtId="0" fontId="9" fillId="4" borderId="16" xfId="0" applyNumberFormat="1" applyFont="1" applyFill="1" applyBorder="1" applyAlignment="1" applyProtection="1"/>
    <xf numFmtId="0" fontId="0" fillId="4" borderId="2" xfId="0" applyFill="1" applyBorder="1" applyAlignment="1"/>
    <xf numFmtId="4" fontId="0" fillId="8" borderId="1" xfId="0" applyNumberFormat="1" applyFill="1" applyBorder="1"/>
    <xf numFmtId="4" fontId="0" fillId="4" borderId="16" xfId="0" applyNumberFormat="1" applyFont="1" applyFill="1" applyBorder="1"/>
    <xf numFmtId="4" fontId="17" fillId="9" borderId="1" xfId="0" applyNumberFormat="1" applyFont="1" applyFill="1" applyBorder="1"/>
    <xf numFmtId="4" fontId="0" fillId="4" borderId="2" xfId="0" applyNumberFormat="1" applyFill="1" applyBorder="1" applyAlignment="1"/>
    <xf numFmtId="4" fontId="0" fillId="4" borderId="0" xfId="0" applyNumberFormat="1" applyFill="1" applyAlignment="1"/>
    <xf numFmtId="4" fontId="0" fillId="4" borderId="16" xfId="0" applyNumberFormat="1" applyFill="1" applyBorder="1" applyAlignment="1"/>
    <xf numFmtId="4" fontId="11" fillId="4" borderId="16" xfId="0" applyNumberFormat="1" applyFont="1" applyFill="1" applyBorder="1" applyAlignment="1" applyProtection="1">
      <alignment horizontal="center" wrapText="1"/>
    </xf>
    <xf numFmtId="0" fontId="0" fillId="4" borderId="16" xfId="0" applyFill="1" applyBorder="1" applyAlignment="1">
      <alignment horizontal="center" vertical="top" wrapText="1"/>
    </xf>
    <xf numFmtId="0" fontId="11" fillId="4" borderId="16" xfId="0" applyNumberFormat="1" applyFont="1" applyFill="1" applyBorder="1" applyAlignment="1" applyProtection="1"/>
    <xf numFmtId="4" fontId="0" fillId="10" borderId="2" xfId="0" applyNumberFormat="1" applyFill="1" applyBorder="1" applyAlignment="1">
      <alignment horizontal="center"/>
    </xf>
    <xf numFmtId="0" fontId="0" fillId="4" borderId="16" xfId="0" applyFill="1" applyBorder="1" applyAlignment="1"/>
    <xf numFmtId="4" fontId="0" fillId="4" borderId="16" xfId="0" applyNumberFormat="1" applyFill="1" applyBorder="1" applyAlignment="1">
      <alignment wrapText="1"/>
    </xf>
    <xf numFmtId="0" fontId="0" fillId="10" borderId="2" xfId="0" applyFill="1" applyBorder="1" applyAlignment="1">
      <alignment horizontal="center"/>
    </xf>
    <xf numFmtId="0" fontId="1" fillId="4" borderId="0" xfId="0" applyFont="1" applyFill="1" applyAlignment="1">
      <alignment horizontal="left"/>
    </xf>
    <xf numFmtId="0" fontId="0" fillId="4" borderId="13" xfId="0" applyFill="1" applyBorder="1" applyAlignment="1">
      <alignment wrapText="1"/>
    </xf>
    <xf numFmtId="0" fontId="0" fillId="0" borderId="12" xfId="0" applyBorder="1" applyAlignment="1">
      <alignment wrapText="1"/>
    </xf>
    <xf numFmtId="0" fontId="0" fillId="4" borderId="12" xfId="0" applyNumberFormat="1" applyFont="1" applyFill="1" applyBorder="1" applyAlignment="1" applyProtection="1">
      <alignment horizontal="center" vertical="center"/>
    </xf>
    <xf numFmtId="0" fontId="0" fillId="4" borderId="16" xfId="0" applyNumberFormat="1" applyFont="1" applyFill="1" applyBorder="1" applyAlignment="1" applyProtection="1">
      <alignment horizontal="center" vertical="center"/>
    </xf>
    <xf numFmtId="0" fontId="0" fillId="4" borderId="13" xfId="0" applyNumberFormat="1" applyFont="1" applyFill="1" applyBorder="1" applyAlignment="1" applyProtection="1">
      <alignment horizontal="center" vertical="center" wrapText="1"/>
    </xf>
    <xf numFmtId="0" fontId="0" fillId="0" borderId="16" xfId="0" applyBorder="1" applyAlignment="1">
      <alignment horizontal="center" vertical="center" wrapText="1"/>
    </xf>
    <xf numFmtId="0" fontId="0" fillId="0" borderId="16" xfId="0" applyBorder="1" applyAlignment="1"/>
    <xf numFmtId="0" fontId="7" fillId="4" borderId="11" xfId="0" applyNumberFormat="1" applyFont="1" applyFill="1" applyBorder="1" applyAlignment="1" applyProtection="1">
      <alignment horizontal="center" vertical="center" wrapText="1"/>
    </xf>
    <xf numFmtId="0" fontId="0" fillId="0" borderId="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wrapText="1"/>
    </xf>
    <xf numFmtId="0" fontId="16" fillId="0" borderId="11" xfId="0" applyFont="1" applyBorder="1" applyAlignment="1">
      <alignment horizontal="center" vertical="center" wrapText="1"/>
    </xf>
    <xf numFmtId="0" fontId="16" fillId="0" borderId="4" xfId="0" applyFont="1" applyBorder="1" applyAlignment="1">
      <alignment horizontal="center" vertical="center"/>
    </xf>
    <xf numFmtId="0" fontId="16" fillId="0" borderId="15" xfId="0" applyFont="1" applyBorder="1" applyAlignment="1">
      <alignment horizontal="center" vertical="center"/>
    </xf>
    <xf numFmtId="4" fontId="0" fillId="4" borderId="13" xfId="0" applyNumberFormat="1" applyFill="1" applyBorder="1" applyAlignment="1"/>
    <xf numFmtId="4" fontId="0" fillId="0" borderId="16" xfId="0" applyNumberFormat="1" applyBorder="1" applyAlignment="1"/>
    <xf numFmtId="0" fontId="16" fillId="4" borderId="11" xfId="0" applyFont="1" applyFill="1" applyBorder="1" applyAlignment="1">
      <alignment horizontal="center" vertical="center" wrapText="1"/>
    </xf>
    <xf numFmtId="0" fontId="16" fillId="0" borderId="4" xfId="0" applyFont="1" applyBorder="1" applyAlignment="1">
      <alignment horizontal="center" vertical="center" wrapText="1"/>
    </xf>
    <xf numFmtId="0" fontId="16" fillId="0" borderId="15" xfId="0" applyFont="1" applyBorder="1" applyAlignment="1">
      <alignment horizontal="center" vertical="center" wrapText="1"/>
    </xf>
    <xf numFmtId="0" fontId="0" fillId="4" borderId="11" xfId="0" applyNumberFormat="1" applyFont="1" applyFill="1" applyBorder="1" applyAlignment="1" applyProtection="1">
      <alignment horizontal="center" vertical="center"/>
    </xf>
    <xf numFmtId="0" fontId="0" fillId="4" borderId="4" xfId="0" applyFill="1" applyBorder="1" applyAlignment="1">
      <alignment horizontal="center" vertical="center"/>
    </xf>
    <xf numFmtId="0" fontId="0" fillId="4" borderId="15" xfId="0" applyFill="1" applyBorder="1" applyAlignment="1">
      <alignment horizontal="center" vertical="center"/>
    </xf>
    <xf numFmtId="0" fontId="7" fillId="4" borderId="11" xfId="0" applyNumberFormat="1" applyFont="1" applyFill="1" applyBorder="1" applyAlignment="1">
      <alignment horizontal="center" vertical="top" wrapText="1"/>
    </xf>
    <xf numFmtId="0" fontId="7" fillId="4" borderId="4" xfId="0" applyNumberFormat="1" applyFont="1" applyFill="1" applyBorder="1" applyAlignment="1">
      <alignment horizontal="center" vertical="top" wrapText="1"/>
    </xf>
    <xf numFmtId="0" fontId="7" fillId="4" borderId="15" xfId="0" applyNumberFormat="1" applyFont="1" applyFill="1" applyBorder="1"/>
    <xf numFmtId="0" fontId="11" fillId="4" borderId="11" xfId="0" applyNumberFormat="1" applyFont="1" applyFill="1" applyBorder="1" applyAlignment="1">
      <alignment horizontal="center" vertical="top" wrapText="1"/>
    </xf>
    <xf numFmtId="0" fontId="11" fillId="4" borderId="4" xfId="0" applyNumberFormat="1" applyFont="1" applyFill="1" applyBorder="1" applyAlignment="1">
      <alignment horizontal="center" vertical="top" wrapText="1"/>
    </xf>
    <xf numFmtId="0" fontId="11" fillId="4" borderId="15" xfId="0" applyNumberFormat="1" applyFont="1" applyFill="1" applyBorder="1"/>
    <xf numFmtId="0" fontId="11" fillId="2" borderId="11" xfId="0" applyNumberFormat="1" applyFont="1" applyFill="1" applyBorder="1" applyAlignment="1">
      <alignment horizontal="center" vertical="top" wrapText="1"/>
    </xf>
    <xf numFmtId="0" fontId="11" fillId="2" borderId="4" xfId="0" applyNumberFormat="1" applyFont="1" applyFill="1" applyBorder="1" applyAlignment="1">
      <alignment horizontal="center" vertical="top" wrapText="1"/>
    </xf>
    <xf numFmtId="0" fontId="11" fillId="2" borderId="15" xfId="0" applyNumberFormat="1" applyFont="1" applyFill="1" applyBorder="1"/>
    <xf numFmtId="0" fontId="7" fillId="4" borderId="11" xfId="0" applyNumberFormat="1" applyFont="1" applyFill="1" applyBorder="1" applyAlignment="1" applyProtection="1">
      <alignment horizontal="center" vertical="top" wrapText="1"/>
    </xf>
    <xf numFmtId="0" fontId="0" fillId="0" borderId="4" xfId="0" applyBorder="1" applyAlignment="1"/>
    <xf numFmtId="0" fontId="0" fillId="0" borderId="15" xfId="0" applyBorder="1" applyAlignment="1"/>
    <xf numFmtId="0" fontId="0" fillId="4" borderId="11" xfId="0" applyFill="1" applyBorder="1" applyAlignment="1">
      <alignment horizontal="center" vertical="top" wrapText="1"/>
    </xf>
    <xf numFmtId="0" fontId="0" fillId="0" borderId="4" xfId="0" applyBorder="1" applyAlignment="1">
      <alignment horizontal="center" vertical="top" wrapText="1"/>
    </xf>
    <xf numFmtId="0" fontId="0" fillId="0" borderId="15" xfId="0" applyBorder="1" applyAlignment="1">
      <alignment horizontal="center" vertical="top" wrapText="1"/>
    </xf>
    <xf numFmtId="0" fontId="7" fillId="8" borderId="11" xfId="0" applyNumberFormat="1" applyFont="1" applyFill="1" applyBorder="1" applyAlignment="1">
      <alignment horizontal="center" vertical="top" wrapText="1"/>
    </xf>
    <xf numFmtId="0" fontId="0" fillId="8" borderId="4" xfId="0" applyFill="1" applyBorder="1" applyAlignment="1"/>
    <xf numFmtId="0" fontId="0" fillId="8" borderId="15" xfId="0" applyFill="1" applyBorder="1" applyAlignment="1"/>
    <xf numFmtId="0" fontId="0" fillId="4" borderId="4" xfId="0" applyFill="1" applyBorder="1" applyAlignment="1"/>
    <xf numFmtId="0" fontId="0" fillId="4" borderId="15" xfId="0" applyFill="1" applyBorder="1" applyAlignment="1"/>
    <xf numFmtId="0" fontId="7" fillId="4" borderId="16" xfId="0" applyNumberFormat="1" applyFont="1" applyFill="1" applyBorder="1" applyAlignment="1" applyProtection="1">
      <alignment horizontal="center" vertical="top" wrapText="1"/>
    </xf>
    <xf numFmtId="0" fontId="0" fillId="4" borderId="16" xfId="0" applyFill="1" applyBorder="1" applyAlignment="1"/>
    <xf numFmtId="0" fontId="0" fillId="4" borderId="16" xfId="0" applyFill="1" applyBorder="1" applyAlignment="1">
      <alignment horizontal="center" vertical="top" wrapText="1"/>
    </xf>
    <xf numFmtId="0" fontId="0" fillId="4" borderId="12" xfId="0" applyFill="1" applyBorder="1" applyAlignment="1">
      <alignment horizontal="center" vertical="center"/>
    </xf>
    <xf numFmtId="0" fontId="0" fillId="4" borderId="4" xfId="0" applyNumberFormat="1" applyFont="1" applyFill="1" applyBorder="1" applyAlignment="1" applyProtection="1">
      <alignment horizontal="center" vertical="center"/>
    </xf>
    <xf numFmtId="0" fontId="0" fillId="4" borderId="15" xfId="0" applyNumberFormat="1" applyFont="1" applyFill="1" applyBorder="1" applyAlignment="1" applyProtection="1">
      <alignment horizontal="center" vertical="center"/>
    </xf>
    <xf numFmtId="0" fontId="7" fillId="4" borderId="15" xfId="0" applyNumberFormat="1" applyFont="1" applyFill="1" applyBorder="1" applyAlignment="1">
      <alignment horizontal="center" vertical="top" wrapText="1"/>
    </xf>
    <xf numFmtId="0" fontId="11" fillId="2" borderId="15" xfId="0" applyNumberFormat="1" applyFont="1" applyFill="1" applyBorder="1" applyAlignment="1">
      <alignment horizontal="center" vertical="top" wrapText="1"/>
    </xf>
    <xf numFmtId="0" fontId="16" fillId="4" borderId="4" xfId="0" applyFont="1" applyFill="1" applyBorder="1" applyAlignment="1">
      <alignment horizontal="center" vertical="center" wrapText="1"/>
    </xf>
    <xf numFmtId="0" fontId="16" fillId="4" borderId="15" xfId="0" applyFont="1" applyFill="1" applyBorder="1" applyAlignment="1">
      <alignment horizontal="center" vertical="center" wrapText="1"/>
    </xf>
    <xf numFmtId="0" fontId="0" fillId="2" borderId="11"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5" xfId="0" applyFill="1" applyBorder="1" applyAlignment="1">
      <alignment horizontal="center" vertical="center" wrapText="1"/>
    </xf>
    <xf numFmtId="0" fontId="0" fillId="4" borderId="11" xfId="0" applyNumberFormat="1" applyFont="1" applyFill="1" applyBorder="1" applyAlignment="1" applyProtection="1">
      <alignment horizontal="center" vertical="center" wrapText="1"/>
    </xf>
    <xf numFmtId="0" fontId="0" fillId="4" borderId="4" xfId="0" applyNumberFormat="1" applyFont="1" applyFill="1" applyBorder="1" applyAlignment="1" applyProtection="1">
      <alignment horizontal="center" vertical="center" wrapText="1"/>
    </xf>
    <xf numFmtId="0" fontId="0" fillId="4" borderId="15" xfId="0" applyNumberFormat="1" applyFont="1" applyFill="1" applyBorder="1" applyAlignment="1" applyProtection="1">
      <alignment horizontal="center" vertical="center" wrapText="1"/>
    </xf>
    <xf numFmtId="0" fontId="7" fillId="4" borderId="12" xfId="0" applyNumberFormat="1" applyFont="1" applyFill="1" applyBorder="1" applyAlignment="1" applyProtection="1">
      <alignment horizontal="center" vertical="center" wrapText="1"/>
    </xf>
    <xf numFmtId="0" fontId="13" fillId="4" borderId="11" xfId="0" applyNumberFormat="1" applyFont="1" applyFill="1" applyBorder="1" applyAlignment="1" applyProtection="1">
      <alignment horizontal="center" vertical="center" wrapText="1"/>
    </xf>
    <xf numFmtId="0" fontId="13" fillId="4" borderId="4" xfId="0" applyNumberFormat="1" applyFont="1" applyFill="1" applyBorder="1" applyAlignment="1" applyProtection="1">
      <alignment horizontal="center" vertical="center" wrapText="1"/>
    </xf>
    <xf numFmtId="0" fontId="13" fillId="4" borderId="15" xfId="0" applyNumberFormat="1" applyFont="1" applyFill="1" applyBorder="1" applyAlignment="1" applyProtection="1">
      <alignment horizontal="center" vertical="center" wrapText="1"/>
    </xf>
    <xf numFmtId="0" fontId="7" fillId="2" borderId="11" xfId="0" applyNumberFormat="1" applyFont="1" applyFill="1" applyBorder="1" applyAlignment="1">
      <alignment horizontal="center" vertical="top" wrapText="1"/>
    </xf>
    <xf numFmtId="0" fontId="7" fillId="2" borderId="4" xfId="0" applyNumberFormat="1" applyFont="1" applyFill="1" applyBorder="1" applyAlignment="1">
      <alignment horizontal="center" vertical="top" wrapText="1"/>
    </xf>
    <xf numFmtId="0" fontId="7" fillId="2" borderId="15" xfId="0" applyNumberFormat="1" applyFont="1" applyFill="1" applyBorder="1" applyAlignment="1">
      <alignment horizontal="center" vertical="top" wrapText="1"/>
    </xf>
  </cellXfs>
  <cellStyles count="22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Normal" xfId="0" builtinId="0"/>
  </cellStyles>
  <dxfs count="0"/>
  <tableStyles count="0" defaultTableStyle="TableStyleMedium2" defaultPivotStyle="PivotStyleLight16"/>
  <colors>
    <mruColors>
      <color rgb="FFCCECFF"/>
      <color rgb="FFFFFFCC"/>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XES193"/>
  <sheetViews>
    <sheetView tabSelected="1" workbookViewId="0">
      <selection activeCell="F69" sqref="F69"/>
    </sheetView>
  </sheetViews>
  <sheetFormatPr baseColWidth="10" defaultColWidth="11.5" defaultRowHeight="14" x14ac:dyDescent="0"/>
  <cols>
    <col min="1" max="1" width="6.1640625" style="3" customWidth="1"/>
    <col min="2" max="2" width="3.1640625" style="3" customWidth="1"/>
    <col min="3" max="3" width="48.83203125" style="3" customWidth="1"/>
    <col min="4" max="4" width="11.5" style="5"/>
    <col min="5" max="5" width="13.1640625" style="5" customWidth="1"/>
    <col min="6" max="6" width="14.83203125" style="3" customWidth="1"/>
    <col min="7" max="7" width="13.5" style="24" customWidth="1"/>
    <col min="8" max="8" width="3.33203125" style="3" customWidth="1"/>
    <col min="9" max="9" width="12.5" style="5" customWidth="1"/>
    <col min="10" max="10" width="3.33203125" style="3" customWidth="1"/>
    <col min="11" max="16373" width="11.5" style="3"/>
  </cols>
  <sheetData>
    <row r="3" spans="2:11" ht="20">
      <c r="B3" s="64" t="s">
        <v>107</v>
      </c>
    </row>
    <row r="4" spans="2:11" ht="20">
      <c r="B4" s="64"/>
    </row>
    <row r="5" spans="2:11" ht="18">
      <c r="B5" s="63" t="s">
        <v>3</v>
      </c>
      <c r="C5" s="63"/>
    </row>
    <row r="6" spans="2:11" ht="48" customHeight="1">
      <c r="B6" s="72" t="s">
        <v>82</v>
      </c>
      <c r="C6" s="72" t="s">
        <v>81</v>
      </c>
      <c r="D6" s="73" t="s">
        <v>9</v>
      </c>
      <c r="E6" s="74" t="s">
        <v>10</v>
      </c>
      <c r="F6" s="73" t="s">
        <v>4</v>
      </c>
      <c r="G6" s="76" t="s">
        <v>5</v>
      </c>
      <c r="H6" s="5"/>
      <c r="I6" s="65"/>
      <c r="J6" s="35"/>
      <c r="K6" s="75"/>
    </row>
    <row r="7" spans="2:11">
      <c r="B7" s="89"/>
      <c r="C7" s="90" t="s">
        <v>6</v>
      </c>
      <c r="D7" s="91"/>
      <c r="E7" s="91"/>
      <c r="F7" s="89"/>
      <c r="G7" s="92"/>
      <c r="H7" s="11"/>
      <c r="I7" s="143"/>
      <c r="J7" s="35"/>
      <c r="K7" s="75"/>
    </row>
    <row r="8" spans="2:11">
      <c r="B8" s="89">
        <v>1</v>
      </c>
      <c r="C8" s="89" t="s">
        <v>2</v>
      </c>
      <c r="D8" s="91" t="s">
        <v>7</v>
      </c>
      <c r="E8" s="91">
        <v>12</v>
      </c>
      <c r="F8" s="92">
        <v>10000</v>
      </c>
      <c r="G8" s="92">
        <f t="shared" ref="G8:G13" si="0">F8 *E8</f>
        <v>120000</v>
      </c>
      <c r="H8" s="18"/>
      <c r="I8" s="143"/>
      <c r="J8" s="35"/>
      <c r="K8" s="75"/>
    </row>
    <row r="9" spans="2:11">
      <c r="B9" s="89">
        <v>2</v>
      </c>
      <c r="C9" s="89" t="s">
        <v>108</v>
      </c>
      <c r="D9" s="91" t="s">
        <v>8</v>
      </c>
      <c r="E9" s="91">
        <v>0</v>
      </c>
      <c r="F9" s="92">
        <v>25000</v>
      </c>
      <c r="G9" s="92">
        <f>F9 *E9</f>
        <v>0</v>
      </c>
      <c r="H9" s="18"/>
      <c r="I9" s="143"/>
      <c r="J9" s="35"/>
      <c r="K9" s="75" t="s">
        <v>113</v>
      </c>
    </row>
    <row r="10" spans="2:11">
      <c r="B10" s="89">
        <v>3</v>
      </c>
      <c r="C10" s="89" t="s">
        <v>114</v>
      </c>
      <c r="D10" s="91" t="s">
        <v>8</v>
      </c>
      <c r="E10" s="91">
        <v>12</v>
      </c>
      <c r="F10" s="92">
        <v>20000</v>
      </c>
      <c r="G10" s="92">
        <f t="shared" si="0"/>
        <v>240000</v>
      </c>
      <c r="H10" s="18"/>
      <c r="I10" s="143"/>
      <c r="J10" s="35"/>
      <c r="K10" s="75"/>
    </row>
    <row r="11" spans="2:11">
      <c r="B11" s="89">
        <v>4</v>
      </c>
      <c r="C11" s="89" t="s">
        <v>115</v>
      </c>
      <c r="D11" s="91" t="s">
        <v>8</v>
      </c>
      <c r="E11" s="91">
        <v>12</v>
      </c>
      <c r="F11" s="92">
        <v>20000</v>
      </c>
      <c r="G11" s="92">
        <f t="shared" si="0"/>
        <v>240000</v>
      </c>
      <c r="H11" s="104"/>
      <c r="I11" s="105"/>
      <c r="J11" s="106"/>
      <c r="K11" s="75"/>
    </row>
    <row r="12" spans="2:11">
      <c r="B12" s="89">
        <v>5</v>
      </c>
      <c r="C12" s="89" t="s">
        <v>121</v>
      </c>
      <c r="D12" s="91" t="s">
        <v>8</v>
      </c>
      <c r="E12" s="91">
        <v>12</v>
      </c>
      <c r="F12" s="92">
        <v>5000</v>
      </c>
      <c r="G12" s="92">
        <f t="shared" si="0"/>
        <v>60000</v>
      </c>
      <c r="H12" s="18"/>
      <c r="I12" s="42"/>
      <c r="J12" s="35"/>
      <c r="K12" s="75"/>
    </row>
    <row r="13" spans="2:11">
      <c r="B13" s="89">
        <v>6</v>
      </c>
      <c r="C13" s="89" t="s">
        <v>122</v>
      </c>
      <c r="D13" s="91" t="s">
        <v>8</v>
      </c>
      <c r="E13" s="91">
        <v>12</v>
      </c>
      <c r="F13" s="92">
        <v>2000</v>
      </c>
      <c r="G13" s="92">
        <f t="shared" si="0"/>
        <v>24000</v>
      </c>
      <c r="H13" s="18"/>
      <c r="I13" s="42"/>
      <c r="J13" s="35"/>
      <c r="K13" s="75"/>
    </row>
    <row r="14" spans="2:11">
      <c r="B14" s="89">
        <v>7</v>
      </c>
      <c r="C14" s="89" t="s">
        <v>123</v>
      </c>
      <c r="D14" s="91" t="s">
        <v>8</v>
      </c>
      <c r="E14" s="91">
        <v>12</v>
      </c>
      <c r="F14" s="92">
        <v>2000</v>
      </c>
      <c r="G14" s="92">
        <f t="shared" ref="G14" si="1">F14 *E14</f>
        <v>24000</v>
      </c>
      <c r="H14" s="104"/>
      <c r="I14" s="109"/>
      <c r="J14" s="106"/>
      <c r="K14" s="75"/>
    </row>
    <row r="15" spans="2:11">
      <c r="B15" s="114"/>
      <c r="C15" s="106"/>
      <c r="D15" s="115"/>
      <c r="E15" s="115"/>
      <c r="F15" s="106"/>
      <c r="G15" s="104"/>
      <c r="H15" s="18"/>
      <c r="I15" s="42"/>
      <c r="J15" s="35"/>
      <c r="K15" s="75"/>
    </row>
    <row r="16" spans="2:11">
      <c r="B16" s="89"/>
      <c r="C16" s="89"/>
      <c r="D16" s="91"/>
      <c r="E16" s="91"/>
      <c r="F16" s="89"/>
      <c r="G16" s="92"/>
      <c r="I16" s="42"/>
      <c r="J16" s="35"/>
      <c r="K16" s="75"/>
    </row>
    <row r="17" spans="2:15">
      <c r="B17" s="89">
        <v>7</v>
      </c>
      <c r="C17" s="90" t="s">
        <v>11</v>
      </c>
      <c r="D17" s="91" t="s">
        <v>15</v>
      </c>
      <c r="E17" s="91">
        <v>1</v>
      </c>
      <c r="F17" s="92">
        <f>(G8+G9+G10+G11+G12+G13+G14)/100*49.656</f>
        <v>351564.48</v>
      </c>
      <c r="G17" s="92">
        <f>E17*F17</f>
        <v>351564.48</v>
      </c>
      <c r="I17" s="143"/>
      <c r="K17" s="75"/>
    </row>
    <row r="18" spans="2:15">
      <c r="B18" s="89">
        <v>8</v>
      </c>
      <c r="C18" s="90" t="s">
        <v>118</v>
      </c>
      <c r="D18" s="91" t="s">
        <v>15</v>
      </c>
      <c r="E18" s="91">
        <v>1</v>
      </c>
      <c r="F18" s="92">
        <v>10000</v>
      </c>
      <c r="G18" s="92">
        <f>E18*F18</f>
        <v>10000</v>
      </c>
      <c r="H18" s="18"/>
      <c r="I18" s="143"/>
      <c r="K18" s="75"/>
    </row>
    <row r="19" spans="2:15">
      <c r="B19" s="89">
        <v>9</v>
      </c>
      <c r="C19" s="89" t="s">
        <v>124</v>
      </c>
      <c r="D19" s="91" t="s">
        <v>7</v>
      </c>
      <c r="E19" s="91">
        <v>4</v>
      </c>
      <c r="F19" s="92">
        <v>15000</v>
      </c>
      <c r="G19" s="92">
        <f>F19 *E19</f>
        <v>60000</v>
      </c>
      <c r="H19" s="104"/>
      <c r="I19" s="144"/>
      <c r="K19" s="75"/>
    </row>
    <row r="20" spans="2:15" ht="12" customHeight="1">
      <c r="B20" s="89">
        <v>10</v>
      </c>
      <c r="C20" s="94" t="s">
        <v>16</v>
      </c>
      <c r="D20" s="95" t="s">
        <v>15</v>
      </c>
      <c r="E20" s="95">
        <v>1</v>
      </c>
      <c r="F20" s="93">
        <v>0</v>
      </c>
      <c r="G20" s="92">
        <f t="shared" ref="G20:G25" si="2">F20 *E20</f>
        <v>0</v>
      </c>
      <c r="H20" s="18"/>
      <c r="I20" s="143"/>
      <c r="K20" s="75"/>
    </row>
    <row r="21" spans="2:15" ht="12" customHeight="1">
      <c r="B21" s="89">
        <v>11</v>
      </c>
      <c r="C21" s="89" t="s">
        <v>19</v>
      </c>
      <c r="D21" s="91" t="s">
        <v>15</v>
      </c>
      <c r="E21" s="91">
        <v>1</v>
      </c>
      <c r="F21" s="92">
        <v>3000</v>
      </c>
      <c r="G21" s="92">
        <f t="shared" si="2"/>
        <v>3000</v>
      </c>
      <c r="H21" s="18"/>
      <c r="I21" s="143"/>
      <c r="K21" s="75"/>
    </row>
    <row r="22" spans="2:15">
      <c r="B22" s="89">
        <v>12</v>
      </c>
      <c r="C22" s="89" t="s">
        <v>20</v>
      </c>
      <c r="D22" s="91" t="s">
        <v>12</v>
      </c>
      <c r="E22" s="91">
        <v>12</v>
      </c>
      <c r="F22" s="92">
        <v>1000</v>
      </c>
      <c r="G22" s="92">
        <f t="shared" si="2"/>
        <v>12000</v>
      </c>
      <c r="H22" s="18"/>
      <c r="I22" s="41"/>
      <c r="K22" s="75"/>
    </row>
    <row r="23" spans="2:15">
      <c r="B23" s="89">
        <v>13</v>
      </c>
      <c r="C23" s="89" t="s">
        <v>17</v>
      </c>
      <c r="D23" s="91" t="s">
        <v>15</v>
      </c>
      <c r="E23" s="91">
        <v>1</v>
      </c>
      <c r="F23" s="92">
        <v>899</v>
      </c>
      <c r="G23" s="92">
        <f t="shared" si="2"/>
        <v>899</v>
      </c>
      <c r="H23" s="18"/>
      <c r="I23" s="41"/>
      <c r="K23" s="75"/>
    </row>
    <row r="24" spans="2:15">
      <c r="B24" s="89">
        <v>14</v>
      </c>
      <c r="C24" s="89" t="s">
        <v>103</v>
      </c>
      <c r="D24" s="91" t="s">
        <v>15</v>
      </c>
      <c r="E24" s="91">
        <v>1</v>
      </c>
      <c r="F24" s="92">
        <v>50000</v>
      </c>
      <c r="G24" s="92">
        <f t="shared" si="2"/>
        <v>50000</v>
      </c>
      <c r="H24" s="18"/>
      <c r="I24" s="41"/>
      <c r="K24" s="75"/>
    </row>
    <row r="25" spans="2:15" ht="67" customHeight="1">
      <c r="B25" s="16">
        <v>15</v>
      </c>
      <c r="C25" s="21" t="s">
        <v>117</v>
      </c>
      <c r="D25" s="15" t="s">
        <v>12</v>
      </c>
      <c r="E25" s="15">
        <v>12</v>
      </c>
      <c r="F25" s="17">
        <v>8500</v>
      </c>
      <c r="G25" s="17">
        <f t="shared" si="2"/>
        <v>102000</v>
      </c>
      <c r="H25" s="18"/>
      <c r="I25" s="41"/>
      <c r="K25" s="141"/>
      <c r="L25" s="142"/>
      <c r="M25" s="142"/>
      <c r="N25" s="142"/>
      <c r="O25" s="142"/>
    </row>
    <row r="26" spans="2:15">
      <c r="B26" s="16">
        <v>16</v>
      </c>
      <c r="C26" s="22" t="s">
        <v>28</v>
      </c>
      <c r="D26" s="15" t="s">
        <v>15</v>
      </c>
      <c r="E26" s="15">
        <v>1</v>
      </c>
      <c r="F26" s="17">
        <v>30000</v>
      </c>
      <c r="G26" s="17">
        <f>E26*F26</f>
        <v>30000</v>
      </c>
      <c r="H26" s="18"/>
      <c r="K26" s="75"/>
    </row>
    <row r="27" spans="2:15" ht="30" customHeight="1">
      <c r="B27" s="16">
        <v>17</v>
      </c>
      <c r="C27" s="22" t="s">
        <v>126</v>
      </c>
      <c r="D27" s="15" t="s">
        <v>12</v>
      </c>
      <c r="E27" s="15">
        <v>12</v>
      </c>
      <c r="F27" s="17">
        <v>20000</v>
      </c>
      <c r="G27" s="87">
        <f>F27 *E27</f>
        <v>240000</v>
      </c>
      <c r="H27" s="18"/>
      <c r="K27" s="75"/>
    </row>
    <row r="28" spans="2:15" ht="30" customHeight="1">
      <c r="B28" s="16">
        <v>18</v>
      </c>
      <c r="C28" s="22" t="s">
        <v>127</v>
      </c>
      <c r="D28" s="15" t="s">
        <v>12</v>
      </c>
      <c r="E28" s="15">
        <v>12</v>
      </c>
      <c r="F28" s="119">
        <v>5000</v>
      </c>
      <c r="G28" s="87">
        <f>F28 *E28</f>
        <v>60000</v>
      </c>
      <c r="H28" s="104"/>
      <c r="K28" s="75"/>
    </row>
    <row r="29" spans="2:15">
      <c r="B29" s="16">
        <v>19</v>
      </c>
      <c r="C29" s="22" t="s">
        <v>13</v>
      </c>
      <c r="D29" s="15" t="s">
        <v>15</v>
      </c>
      <c r="E29" s="15">
        <v>1</v>
      </c>
      <c r="F29" s="98">
        <f>((53*2*1.5)+(26*2*1.5))*893.2</f>
        <v>211688.40000000002</v>
      </c>
      <c r="G29" s="17">
        <f>E29*F29</f>
        <v>211688.40000000002</v>
      </c>
      <c r="H29" s="18"/>
      <c r="I29" s="152" t="s">
        <v>80</v>
      </c>
      <c r="K29" s="75"/>
    </row>
    <row r="30" spans="2:15" ht="30" customHeight="1">
      <c r="B30" s="16">
        <v>20</v>
      </c>
      <c r="C30" s="21" t="s">
        <v>29</v>
      </c>
      <c r="D30" s="15" t="s">
        <v>12</v>
      </c>
      <c r="E30" s="15">
        <v>12</v>
      </c>
      <c r="F30" s="17">
        <v>5000</v>
      </c>
      <c r="G30" s="17">
        <f>E30*F30</f>
        <v>60000</v>
      </c>
      <c r="H30" s="18"/>
      <c r="I30" s="153"/>
      <c r="J30" s="23"/>
      <c r="K30" s="75"/>
    </row>
    <row r="31" spans="2:15">
      <c r="B31" s="16">
        <v>21</v>
      </c>
      <c r="C31" s="101" t="s">
        <v>119</v>
      </c>
      <c r="D31" s="15" t="s">
        <v>12</v>
      </c>
      <c r="E31" s="15">
        <v>12</v>
      </c>
      <c r="F31" s="88">
        <v>300</v>
      </c>
      <c r="G31" s="17">
        <f>E31*F31</f>
        <v>3600</v>
      </c>
      <c r="I31" s="154"/>
      <c r="K31" s="75"/>
    </row>
    <row r="32" spans="2:15" ht="12" customHeight="1">
      <c r="C32" s="13"/>
      <c r="H32" s="18"/>
    </row>
    <row r="33" spans="1:17" ht="12" customHeight="1">
      <c r="C33" s="4"/>
      <c r="G33" s="18">
        <f>SUM(G8:G31)</f>
        <v>1902751.88</v>
      </c>
      <c r="H33" s="18"/>
      <c r="I33" s="40">
        <f>(G33/'Расчет взносов'!J5)*'Расчет взносов'!AC4+'Смета 2019-20'!W8</f>
        <v>2146.9835507932953</v>
      </c>
    </row>
    <row r="34" spans="1:17" ht="12" customHeight="1">
      <c r="A34" s="35"/>
      <c r="B34" s="35"/>
      <c r="C34" s="39"/>
      <c r="D34" s="65"/>
      <c r="E34" s="65" t="s">
        <v>38</v>
      </c>
      <c r="F34" s="35"/>
      <c r="G34" s="18"/>
      <c r="I34" s="97"/>
    </row>
    <row r="35" spans="1:17" ht="1" customHeight="1">
      <c r="C35" s="13"/>
      <c r="G35" s="18"/>
    </row>
    <row r="36" spans="1:17" ht="17" customHeight="1">
      <c r="B36" s="63" t="s">
        <v>21</v>
      </c>
      <c r="C36" s="63"/>
      <c r="G36" s="18"/>
      <c r="K36" s="106"/>
    </row>
    <row r="37" spans="1:17" ht="45" customHeight="1">
      <c r="B37" s="72" t="s">
        <v>82</v>
      </c>
      <c r="C37" s="72" t="s">
        <v>81</v>
      </c>
      <c r="D37" s="73" t="s">
        <v>9</v>
      </c>
      <c r="E37" s="74" t="s">
        <v>10</v>
      </c>
      <c r="F37" s="73" t="s">
        <v>4</v>
      </c>
      <c r="G37" s="76" t="s">
        <v>5</v>
      </c>
      <c r="H37" s="18"/>
      <c r="K37" s="75"/>
      <c r="L37" s="106"/>
      <c r="M37" s="106"/>
      <c r="N37" s="106"/>
      <c r="O37" s="106"/>
      <c r="P37" s="106"/>
      <c r="Q37" s="106"/>
    </row>
    <row r="38" spans="1:17" ht="48" customHeight="1">
      <c r="B38" s="72">
        <v>1</v>
      </c>
      <c r="C38" s="100" t="s">
        <v>129</v>
      </c>
      <c r="D38" s="73" t="s">
        <v>15</v>
      </c>
      <c r="E38" s="74">
        <v>0</v>
      </c>
      <c r="F38" s="73">
        <v>40000</v>
      </c>
      <c r="G38" s="76">
        <f t="shared" ref="G38:G51" si="3">E38*F38</f>
        <v>0</v>
      </c>
      <c r="H38" s="18"/>
      <c r="K38" s="75"/>
      <c r="L38" s="106"/>
      <c r="M38" s="106"/>
      <c r="N38" s="106"/>
      <c r="O38" s="106"/>
      <c r="P38" s="106"/>
      <c r="Q38" s="106"/>
    </row>
    <row r="39" spans="1:17">
      <c r="B39" s="72">
        <v>2</v>
      </c>
      <c r="C39" s="100" t="s">
        <v>110</v>
      </c>
      <c r="D39" s="73" t="s">
        <v>15</v>
      </c>
      <c r="E39" s="74">
        <v>1</v>
      </c>
      <c r="F39" s="73">
        <v>0</v>
      </c>
      <c r="G39" s="76">
        <f t="shared" si="3"/>
        <v>0</v>
      </c>
      <c r="H39" s="18"/>
      <c r="K39" s="75"/>
      <c r="L39" s="106"/>
      <c r="M39" s="106"/>
      <c r="N39" s="106"/>
      <c r="O39" s="106"/>
      <c r="P39" s="106"/>
      <c r="Q39" s="106"/>
    </row>
    <row r="40" spans="1:17" ht="49" customHeight="1">
      <c r="B40" s="16">
        <v>3</v>
      </c>
      <c r="C40" s="21" t="s">
        <v>111</v>
      </c>
      <c r="D40" s="15" t="s">
        <v>24</v>
      </c>
      <c r="E40" s="15">
        <v>1</v>
      </c>
      <c r="F40" s="87">
        <v>27000</v>
      </c>
      <c r="G40" s="76">
        <f t="shared" si="3"/>
        <v>27000</v>
      </c>
      <c r="H40" s="18"/>
      <c r="K40" s="155"/>
      <c r="L40" s="156"/>
      <c r="M40" s="156"/>
      <c r="N40" s="156"/>
      <c r="O40" s="156"/>
      <c r="P40" s="156"/>
      <c r="Q40" s="156"/>
    </row>
    <row r="41" spans="1:17" ht="27" customHeight="1">
      <c r="B41" s="16">
        <v>4</v>
      </c>
      <c r="C41" s="66" t="s">
        <v>22</v>
      </c>
      <c r="D41" s="15" t="s">
        <v>24</v>
      </c>
      <c r="E41" s="20">
        <v>0</v>
      </c>
      <c r="F41" s="102">
        <v>10000</v>
      </c>
      <c r="G41" s="76">
        <f t="shared" si="3"/>
        <v>0</v>
      </c>
      <c r="H41" s="18"/>
      <c r="K41" s="110"/>
      <c r="L41" s="120"/>
      <c r="M41" s="120"/>
      <c r="N41" s="120"/>
      <c r="O41" s="120"/>
      <c r="P41" s="120"/>
      <c r="Q41" s="106"/>
    </row>
    <row r="42" spans="1:17" ht="31" customHeight="1">
      <c r="B42" s="16">
        <v>5</v>
      </c>
      <c r="C42" s="21" t="s">
        <v>23</v>
      </c>
      <c r="D42" s="15" t="s">
        <v>24</v>
      </c>
      <c r="E42" s="15">
        <v>1</v>
      </c>
      <c r="F42" s="99">
        <v>10000</v>
      </c>
      <c r="G42" s="76">
        <f t="shared" si="3"/>
        <v>10000</v>
      </c>
      <c r="H42" s="18"/>
      <c r="K42" s="110"/>
      <c r="L42" s="120"/>
      <c r="M42" s="120"/>
      <c r="N42" s="120"/>
      <c r="O42" s="120"/>
      <c r="P42" s="120"/>
      <c r="Q42" s="106"/>
    </row>
    <row r="43" spans="1:17" ht="21" customHeight="1">
      <c r="B43" s="16">
        <v>6</v>
      </c>
      <c r="C43" s="66" t="s">
        <v>112</v>
      </c>
      <c r="D43" s="15" t="s">
        <v>24</v>
      </c>
      <c r="E43" s="20">
        <v>0</v>
      </c>
      <c r="F43" s="102">
        <v>40000</v>
      </c>
      <c r="G43" s="76">
        <f t="shared" si="3"/>
        <v>0</v>
      </c>
      <c r="H43" s="104"/>
      <c r="K43" s="103"/>
      <c r="L43" s="108"/>
      <c r="M43" s="108"/>
      <c r="N43" s="108"/>
      <c r="O43" s="108"/>
      <c r="P43" s="108"/>
      <c r="Q43" s="106"/>
    </row>
    <row r="44" spans="1:17" ht="77" customHeight="1">
      <c r="B44" s="16">
        <v>7</v>
      </c>
      <c r="C44" s="100" t="s">
        <v>125</v>
      </c>
      <c r="D44" s="15" t="s">
        <v>24</v>
      </c>
      <c r="E44" s="20">
        <v>1</v>
      </c>
      <c r="F44" s="107">
        <v>80000</v>
      </c>
      <c r="G44" s="76">
        <f t="shared" si="3"/>
        <v>80000</v>
      </c>
      <c r="H44" s="104"/>
      <c r="K44" s="145" t="s">
        <v>131</v>
      </c>
      <c r="L44" s="146"/>
      <c r="M44" s="146"/>
      <c r="N44" s="146"/>
      <c r="O44" s="146"/>
      <c r="P44" s="146"/>
      <c r="Q44" s="147"/>
    </row>
    <row r="45" spans="1:17" ht="75" customHeight="1">
      <c r="B45" s="16">
        <v>8</v>
      </c>
      <c r="C45" s="21" t="s">
        <v>128</v>
      </c>
      <c r="D45" s="25" t="s">
        <v>15</v>
      </c>
      <c r="E45" s="118">
        <v>1</v>
      </c>
      <c r="F45" s="88">
        <v>52000</v>
      </c>
      <c r="G45" s="76">
        <f t="shared" si="3"/>
        <v>52000</v>
      </c>
      <c r="H45" s="104"/>
      <c r="K45" s="103"/>
      <c r="L45" s="108"/>
      <c r="M45" s="108"/>
      <c r="N45" s="108"/>
      <c r="O45" s="108"/>
      <c r="P45" s="108"/>
      <c r="Q45" s="106"/>
    </row>
    <row r="46" spans="1:17" ht="27" customHeight="1">
      <c r="B46" s="16">
        <v>9</v>
      </c>
      <c r="C46" s="22" t="s">
        <v>31</v>
      </c>
      <c r="D46" s="15" t="s">
        <v>18</v>
      </c>
      <c r="E46" s="15">
        <v>1</v>
      </c>
      <c r="F46" s="17">
        <f>3*5*4000</f>
        <v>60000</v>
      </c>
      <c r="G46" s="76">
        <f t="shared" si="3"/>
        <v>60000</v>
      </c>
      <c r="H46" s="18"/>
      <c r="K46" s="75"/>
      <c r="L46" s="106"/>
      <c r="M46" s="106"/>
      <c r="N46" s="106"/>
      <c r="O46" s="106"/>
      <c r="P46" s="106"/>
      <c r="Q46" s="106"/>
    </row>
    <row r="47" spans="1:17" ht="63" customHeight="1">
      <c r="B47" s="16">
        <v>10</v>
      </c>
      <c r="C47" s="21" t="s">
        <v>109</v>
      </c>
      <c r="D47" s="15" t="s">
        <v>24</v>
      </c>
      <c r="E47" s="116">
        <v>1</v>
      </c>
      <c r="F47" s="17">
        <v>200000</v>
      </c>
      <c r="G47" s="76">
        <f t="shared" si="3"/>
        <v>200000</v>
      </c>
      <c r="H47" s="18"/>
      <c r="K47" s="75"/>
    </row>
    <row r="48" spans="1:17" ht="16" customHeight="1">
      <c r="B48" s="16">
        <v>11</v>
      </c>
      <c r="C48" s="22" t="s">
        <v>14</v>
      </c>
      <c r="D48" s="15" t="s">
        <v>15</v>
      </c>
      <c r="E48" s="15">
        <v>1</v>
      </c>
      <c r="F48" s="17">
        <v>20000</v>
      </c>
      <c r="G48" s="76">
        <f t="shared" si="3"/>
        <v>20000</v>
      </c>
      <c r="H48" s="18"/>
      <c r="I48" s="157" t="s">
        <v>80</v>
      </c>
    </row>
    <row r="49" spans="1:11" ht="14" customHeight="1">
      <c r="B49" s="16">
        <v>12</v>
      </c>
      <c r="C49" s="67" t="s">
        <v>27</v>
      </c>
      <c r="D49" s="68" t="s">
        <v>24</v>
      </c>
      <c r="E49" s="117">
        <v>0</v>
      </c>
      <c r="F49" s="46">
        <v>60000</v>
      </c>
      <c r="G49" s="76">
        <f t="shared" si="3"/>
        <v>0</v>
      </c>
      <c r="H49" s="26"/>
      <c r="I49" s="158"/>
    </row>
    <row r="50" spans="1:11" ht="18" customHeight="1">
      <c r="A50" s="13"/>
      <c r="B50" s="16">
        <v>13</v>
      </c>
      <c r="C50" s="19" t="s">
        <v>30</v>
      </c>
      <c r="D50" s="25" t="s">
        <v>24</v>
      </c>
      <c r="E50" s="118">
        <v>0</v>
      </c>
      <c r="F50" s="88"/>
      <c r="G50" s="76">
        <f t="shared" si="3"/>
        <v>0</v>
      </c>
      <c r="H50" s="18"/>
      <c r="I50" s="158"/>
      <c r="K50" s="75"/>
    </row>
    <row r="51" spans="1:11">
      <c r="A51" s="39"/>
      <c r="B51" s="16">
        <v>14</v>
      </c>
      <c r="C51" s="21" t="s">
        <v>104</v>
      </c>
      <c r="D51" s="25" t="s">
        <v>15</v>
      </c>
      <c r="E51" s="118">
        <v>0</v>
      </c>
      <c r="F51" s="88"/>
      <c r="G51" s="76">
        <f t="shared" si="3"/>
        <v>0</v>
      </c>
      <c r="H51" s="18"/>
      <c r="I51" s="159"/>
      <c r="K51" s="75"/>
    </row>
    <row r="52" spans="1:11">
      <c r="A52" s="13"/>
      <c r="B52" s="35"/>
      <c r="C52" s="13"/>
      <c r="D52" s="27"/>
      <c r="E52" s="27"/>
      <c r="F52" s="13"/>
      <c r="G52" s="18"/>
    </row>
    <row r="53" spans="1:11">
      <c r="A53" s="13"/>
      <c r="B53" s="35"/>
      <c r="C53" s="13"/>
      <c r="D53" s="27"/>
      <c r="E53" s="27"/>
      <c r="F53" s="13"/>
      <c r="G53" s="18">
        <f>SUM(G38:G51)</f>
        <v>449000</v>
      </c>
      <c r="H53" s="18"/>
      <c r="I53" s="40">
        <f>(G53/'Расчет взносов'!J5)</f>
        <v>386.74223500835501</v>
      </c>
    </row>
    <row r="54" spans="1:11">
      <c r="A54" s="13"/>
      <c r="B54" s="35"/>
    </row>
    <row r="55" spans="1:11">
      <c r="A55" s="28"/>
      <c r="B55" s="35"/>
    </row>
    <row r="56" spans="1:11">
      <c r="A56" s="39"/>
      <c r="B56" s="16">
        <v>1</v>
      </c>
      <c r="C56" s="30" t="s">
        <v>116</v>
      </c>
      <c r="D56" s="15"/>
      <c r="E56" s="15"/>
      <c r="F56" s="16"/>
      <c r="G56" s="17">
        <v>3000</v>
      </c>
      <c r="K56" s="75"/>
    </row>
    <row r="57" spans="1:11">
      <c r="A57" s="39"/>
      <c r="B57" s="16">
        <v>2</v>
      </c>
      <c r="C57" s="30" t="s">
        <v>130</v>
      </c>
      <c r="D57" s="15"/>
      <c r="E57" s="15"/>
      <c r="F57" s="16"/>
      <c r="G57" s="17">
        <v>3000</v>
      </c>
      <c r="K57" s="75"/>
    </row>
    <row r="58" spans="1:11" ht="23">
      <c r="A58" s="69"/>
      <c r="B58" s="16">
        <v>3</v>
      </c>
      <c r="C58" s="30" t="s">
        <v>25</v>
      </c>
      <c r="D58" s="15"/>
      <c r="E58" s="15"/>
      <c r="F58" s="16"/>
      <c r="G58" s="17">
        <v>3000</v>
      </c>
      <c r="J58" s="69"/>
      <c r="K58" s="75"/>
    </row>
    <row r="59" spans="1:11">
      <c r="A59" s="35"/>
      <c r="B59" s="16">
        <v>4</v>
      </c>
      <c r="C59" s="30" t="s">
        <v>26</v>
      </c>
      <c r="D59" s="15" t="s">
        <v>41</v>
      </c>
      <c r="E59" s="15"/>
      <c r="F59" s="16"/>
      <c r="G59" s="17"/>
      <c r="K59" s="75"/>
    </row>
    <row r="60" spans="1:11">
      <c r="B60" s="31"/>
      <c r="D60" s="3"/>
      <c r="E60" s="3"/>
      <c r="G60" s="18"/>
    </row>
    <row r="61" spans="1:11">
      <c r="D61" s="3"/>
      <c r="E61" s="3"/>
      <c r="G61" s="18"/>
    </row>
    <row r="62" spans="1:11" ht="18" customHeight="1">
      <c r="D62" s="3"/>
      <c r="E62" s="3"/>
      <c r="G62" s="47" t="s">
        <v>83</v>
      </c>
      <c r="H62" s="18"/>
      <c r="I62" s="76">
        <f>I33+I53</f>
        <v>2533.7257858016501</v>
      </c>
    </row>
    <row r="63" spans="1:11">
      <c r="D63" s="3"/>
      <c r="E63" s="3"/>
      <c r="G63" s="18"/>
    </row>
    <row r="64" spans="1:11">
      <c r="A64" s="33"/>
      <c r="B64" s="33"/>
      <c r="C64" s="33"/>
      <c r="D64" s="34"/>
      <c r="E64" s="34"/>
      <c r="F64" s="33"/>
      <c r="G64" s="77"/>
      <c r="H64" s="32"/>
      <c r="I64" s="34"/>
      <c r="J64" s="32"/>
    </row>
    <row r="65" spans="2:11" ht="33" customHeight="1">
      <c r="G65" s="18"/>
    </row>
    <row r="66" spans="2:11" ht="20">
      <c r="B66" s="84" t="s">
        <v>43</v>
      </c>
      <c r="C66" s="85"/>
      <c r="D66" s="3"/>
      <c r="G66" s="18"/>
    </row>
    <row r="67" spans="2:11" ht="20">
      <c r="B67" s="64"/>
      <c r="D67" s="6"/>
      <c r="G67" s="18"/>
    </row>
    <row r="68" spans="2:11" ht="15">
      <c r="B68" s="78" t="s">
        <v>84</v>
      </c>
      <c r="C68" s="70"/>
      <c r="D68" s="78"/>
      <c r="E68" s="71"/>
      <c r="F68" s="70"/>
      <c r="G68" s="79"/>
      <c r="H68" s="70"/>
      <c r="I68" s="71"/>
    </row>
    <row r="69" spans="2:11" ht="15">
      <c r="B69" s="140" t="s">
        <v>144</v>
      </c>
      <c r="C69" s="70"/>
      <c r="D69" s="78"/>
      <c r="E69" s="71"/>
      <c r="F69" s="70"/>
      <c r="G69" s="79"/>
      <c r="H69" s="70"/>
      <c r="I69" s="71"/>
    </row>
    <row r="70" spans="2:11" ht="15">
      <c r="B70" s="78"/>
      <c r="C70" s="70"/>
      <c r="D70" s="78"/>
      <c r="E70" s="71"/>
      <c r="F70" s="70"/>
      <c r="G70" s="79"/>
      <c r="H70" s="70"/>
      <c r="I70" s="71"/>
    </row>
    <row r="71" spans="2:11" ht="15">
      <c r="B71" s="78"/>
      <c r="C71" s="70"/>
      <c r="D71" s="78"/>
      <c r="E71" s="71"/>
      <c r="F71" s="70"/>
      <c r="G71" s="79"/>
      <c r="H71" s="70"/>
      <c r="I71" s="71"/>
    </row>
    <row r="72" spans="2:11" ht="18">
      <c r="B72" s="63" t="s">
        <v>3</v>
      </c>
      <c r="C72" s="63"/>
    </row>
    <row r="73" spans="2:11" ht="42">
      <c r="B73" s="72" t="s">
        <v>82</v>
      </c>
      <c r="C73" s="72" t="s">
        <v>81</v>
      </c>
      <c r="D73" s="73" t="s">
        <v>9</v>
      </c>
      <c r="E73" s="74" t="s">
        <v>10</v>
      </c>
      <c r="F73" s="73" t="s">
        <v>4</v>
      </c>
      <c r="G73" s="76" t="s">
        <v>5</v>
      </c>
      <c r="H73" s="5"/>
      <c r="I73" s="65"/>
      <c r="J73" s="35"/>
      <c r="K73" s="75"/>
    </row>
    <row r="74" spans="2:11">
      <c r="B74" s="89"/>
      <c r="C74" s="90" t="s">
        <v>6</v>
      </c>
      <c r="D74" s="91"/>
      <c r="E74" s="91"/>
      <c r="F74" s="89"/>
      <c r="G74" s="92"/>
      <c r="H74" s="11"/>
      <c r="I74" s="143"/>
      <c r="J74" s="35"/>
      <c r="K74" s="75"/>
    </row>
    <row r="75" spans="2:11">
      <c r="B75" s="89">
        <v>1</v>
      </c>
      <c r="C75" s="89" t="s">
        <v>2</v>
      </c>
      <c r="D75" s="91" t="s">
        <v>7</v>
      </c>
      <c r="E75" s="91">
        <v>12</v>
      </c>
      <c r="F75" s="92">
        <v>0</v>
      </c>
      <c r="G75" s="92">
        <f t="shared" ref="G75" si="4">F75 *E75</f>
        <v>0</v>
      </c>
      <c r="H75" s="18"/>
      <c r="I75" s="143"/>
      <c r="J75" s="35"/>
      <c r="K75" s="75"/>
    </row>
    <row r="76" spans="2:11">
      <c r="B76" s="89">
        <v>2</v>
      </c>
      <c r="C76" s="89" t="s">
        <v>108</v>
      </c>
      <c r="D76" s="91" t="s">
        <v>8</v>
      </c>
      <c r="E76" s="91">
        <v>0</v>
      </c>
      <c r="F76" s="92">
        <v>25000</v>
      </c>
      <c r="G76" s="92">
        <f>F76 *E76</f>
        <v>0</v>
      </c>
      <c r="H76" s="18"/>
      <c r="I76" s="143"/>
      <c r="J76" s="35"/>
      <c r="K76" s="75" t="s">
        <v>120</v>
      </c>
    </row>
    <row r="77" spans="2:11">
      <c r="B77" s="89">
        <v>3</v>
      </c>
      <c r="C77" s="89" t="s">
        <v>114</v>
      </c>
      <c r="D77" s="91" t="s">
        <v>8</v>
      </c>
      <c r="E77" s="91">
        <v>6</v>
      </c>
      <c r="F77" s="92">
        <v>20000</v>
      </c>
      <c r="G77" s="92">
        <f t="shared" ref="G77:G81" si="5">F77 *E77</f>
        <v>120000</v>
      </c>
      <c r="H77" s="18"/>
      <c r="I77" s="143"/>
      <c r="J77" s="35"/>
      <c r="K77" s="75" t="s">
        <v>85</v>
      </c>
    </row>
    <row r="78" spans="2:11">
      <c r="B78" s="89">
        <v>4</v>
      </c>
      <c r="C78" s="89" t="s">
        <v>115</v>
      </c>
      <c r="D78" s="91" t="s">
        <v>8</v>
      </c>
      <c r="E78" s="91">
        <v>6</v>
      </c>
      <c r="F78" s="92">
        <v>20000</v>
      </c>
      <c r="G78" s="92">
        <f t="shared" si="5"/>
        <v>120000</v>
      </c>
      <c r="H78" s="104"/>
      <c r="I78" s="112"/>
      <c r="J78" s="106"/>
      <c r="K78" s="75" t="s">
        <v>85</v>
      </c>
    </row>
    <row r="79" spans="2:11">
      <c r="B79" s="89">
        <v>5</v>
      </c>
      <c r="C79" s="89" t="s">
        <v>121</v>
      </c>
      <c r="D79" s="91" t="s">
        <v>8</v>
      </c>
      <c r="E79" s="91">
        <v>12</v>
      </c>
      <c r="F79" s="92">
        <v>5000</v>
      </c>
      <c r="G79" s="92">
        <f t="shared" si="5"/>
        <v>60000</v>
      </c>
      <c r="H79" s="18"/>
      <c r="I79" s="111"/>
      <c r="J79" s="35"/>
      <c r="K79" s="75"/>
    </row>
    <row r="80" spans="2:11">
      <c r="B80" s="89">
        <v>6</v>
      </c>
      <c r="C80" s="89" t="s">
        <v>122</v>
      </c>
      <c r="D80" s="91" t="s">
        <v>8</v>
      </c>
      <c r="E80" s="91">
        <v>12</v>
      </c>
      <c r="F80" s="92">
        <v>2000</v>
      </c>
      <c r="G80" s="92">
        <f t="shared" si="5"/>
        <v>24000</v>
      </c>
      <c r="H80" s="18"/>
      <c r="I80" s="111"/>
      <c r="J80" s="35"/>
      <c r="K80" s="75"/>
    </row>
    <row r="81" spans="2:15">
      <c r="B81" s="89">
        <v>7</v>
      </c>
      <c r="C81" s="89" t="s">
        <v>123</v>
      </c>
      <c r="D81" s="91" t="s">
        <v>8</v>
      </c>
      <c r="E81" s="91">
        <v>12</v>
      </c>
      <c r="F81" s="92">
        <v>2000</v>
      </c>
      <c r="G81" s="92">
        <f t="shared" si="5"/>
        <v>24000</v>
      </c>
      <c r="H81" s="104"/>
      <c r="I81" s="112"/>
      <c r="J81" s="106"/>
      <c r="K81" s="75"/>
    </row>
    <row r="82" spans="2:15">
      <c r="B82" s="114"/>
      <c r="C82" s="106"/>
      <c r="D82" s="115"/>
      <c r="E82" s="115"/>
      <c r="F82" s="106"/>
      <c r="G82" s="104"/>
      <c r="H82" s="18"/>
      <c r="I82" s="111"/>
      <c r="J82" s="35"/>
      <c r="K82" s="75"/>
    </row>
    <row r="83" spans="2:15">
      <c r="B83" s="89"/>
      <c r="C83" s="89"/>
      <c r="D83" s="91"/>
      <c r="E83" s="91"/>
      <c r="F83" s="89"/>
      <c r="G83" s="92"/>
      <c r="I83" s="111"/>
      <c r="J83" s="35"/>
      <c r="K83" s="75"/>
    </row>
    <row r="84" spans="2:15">
      <c r="B84" s="89">
        <v>7</v>
      </c>
      <c r="C84" s="90" t="s">
        <v>11</v>
      </c>
      <c r="D84" s="91" t="s">
        <v>15</v>
      </c>
      <c r="E84" s="91">
        <v>1</v>
      </c>
      <c r="F84" s="92">
        <f>(G75+G76+G77+G78+G79+G80+G81)/100*49.656</f>
        <v>172802.88</v>
      </c>
      <c r="G84" s="92">
        <f>E84*F84</f>
        <v>172802.88</v>
      </c>
      <c r="I84" s="143"/>
      <c r="K84" s="75"/>
    </row>
    <row r="85" spans="2:15">
      <c r="B85" s="89">
        <v>8</v>
      </c>
      <c r="C85" s="90" t="s">
        <v>118</v>
      </c>
      <c r="D85" s="91" t="s">
        <v>15</v>
      </c>
      <c r="E85" s="91">
        <v>1</v>
      </c>
      <c r="F85" s="92">
        <v>10000</v>
      </c>
      <c r="G85" s="92">
        <f>E85*F85</f>
        <v>10000</v>
      </c>
      <c r="H85" s="18"/>
      <c r="I85" s="143"/>
      <c r="K85" s="75"/>
    </row>
    <row r="86" spans="2:15">
      <c r="B86" s="89">
        <v>9</v>
      </c>
      <c r="C86" s="89" t="s">
        <v>124</v>
      </c>
      <c r="D86" s="91" t="s">
        <v>7</v>
      </c>
      <c r="E86" s="91">
        <v>4</v>
      </c>
      <c r="F86" s="92">
        <v>15000</v>
      </c>
      <c r="G86" s="92">
        <f>F86 *E86</f>
        <v>60000</v>
      </c>
      <c r="H86" s="104"/>
      <c r="I86" s="144"/>
      <c r="K86" s="75"/>
    </row>
    <row r="87" spans="2:15" ht="20" customHeight="1">
      <c r="B87" s="89">
        <v>10</v>
      </c>
      <c r="C87" s="94" t="s">
        <v>16</v>
      </c>
      <c r="D87" s="95" t="s">
        <v>15</v>
      </c>
      <c r="E87" s="95">
        <v>1</v>
      </c>
      <c r="F87" s="93">
        <v>0</v>
      </c>
      <c r="G87" s="92">
        <f t="shared" ref="G87:G92" si="6">F87 *E87</f>
        <v>0</v>
      </c>
      <c r="H87" s="18"/>
      <c r="I87" s="143"/>
      <c r="K87" s="75"/>
    </row>
    <row r="88" spans="2:15">
      <c r="B88" s="89">
        <v>11</v>
      </c>
      <c r="C88" s="89" t="s">
        <v>19</v>
      </c>
      <c r="D88" s="91" t="s">
        <v>15</v>
      </c>
      <c r="E88" s="91">
        <v>1</v>
      </c>
      <c r="F88" s="92">
        <v>3000</v>
      </c>
      <c r="G88" s="92">
        <f t="shared" si="6"/>
        <v>3000</v>
      </c>
      <c r="H88" s="18"/>
      <c r="I88" s="143"/>
      <c r="K88" s="75"/>
    </row>
    <row r="89" spans="2:15">
      <c r="B89" s="89">
        <v>12</v>
      </c>
      <c r="C89" s="89" t="s">
        <v>20</v>
      </c>
      <c r="D89" s="91" t="s">
        <v>12</v>
      </c>
      <c r="E89" s="91">
        <v>12</v>
      </c>
      <c r="F89" s="92">
        <v>1000</v>
      </c>
      <c r="G89" s="92">
        <f t="shared" si="6"/>
        <v>12000</v>
      </c>
      <c r="H89" s="18"/>
      <c r="I89" s="111"/>
      <c r="K89" s="75"/>
    </row>
    <row r="90" spans="2:15">
      <c r="B90" s="89">
        <v>13</v>
      </c>
      <c r="C90" s="89" t="s">
        <v>17</v>
      </c>
      <c r="D90" s="91" t="s">
        <v>15</v>
      </c>
      <c r="E90" s="91">
        <v>1</v>
      </c>
      <c r="F90" s="92">
        <v>899</v>
      </c>
      <c r="G90" s="92">
        <f t="shared" si="6"/>
        <v>899</v>
      </c>
      <c r="H90" s="18"/>
      <c r="I90" s="111"/>
      <c r="K90" s="75"/>
    </row>
    <row r="91" spans="2:15">
      <c r="B91" s="89">
        <v>14</v>
      </c>
      <c r="C91" s="89" t="s">
        <v>103</v>
      </c>
      <c r="D91" s="91" t="s">
        <v>15</v>
      </c>
      <c r="E91" s="91">
        <v>1</v>
      </c>
      <c r="F91" s="92">
        <v>50000</v>
      </c>
      <c r="G91" s="92">
        <f t="shared" si="6"/>
        <v>50000</v>
      </c>
      <c r="H91" s="18"/>
      <c r="I91" s="111"/>
      <c r="K91" s="75"/>
    </row>
    <row r="92" spans="2:15" ht="14" customHeight="1">
      <c r="B92" s="16">
        <v>15</v>
      </c>
      <c r="C92" s="21" t="s">
        <v>117</v>
      </c>
      <c r="D92" s="15" t="s">
        <v>12</v>
      </c>
      <c r="E92" s="15">
        <v>12</v>
      </c>
      <c r="F92" s="17">
        <v>8500</v>
      </c>
      <c r="G92" s="17">
        <f t="shared" si="6"/>
        <v>102000</v>
      </c>
      <c r="H92" s="18"/>
      <c r="I92" s="111"/>
      <c r="K92" s="75"/>
    </row>
    <row r="93" spans="2:15">
      <c r="B93" s="16">
        <v>16</v>
      </c>
      <c r="C93" s="22" t="s">
        <v>28</v>
      </c>
      <c r="D93" s="15" t="s">
        <v>15</v>
      </c>
      <c r="E93" s="15">
        <v>1</v>
      </c>
      <c r="F93" s="17">
        <v>30000</v>
      </c>
      <c r="G93" s="17">
        <f>E93*F93</f>
        <v>30000</v>
      </c>
      <c r="H93" s="18"/>
      <c r="K93" s="75"/>
    </row>
    <row r="94" spans="2:15" ht="30" customHeight="1">
      <c r="B94" s="16">
        <v>17</v>
      </c>
      <c r="C94" s="22" t="s">
        <v>126</v>
      </c>
      <c r="D94" s="15" t="s">
        <v>12</v>
      </c>
      <c r="E94" s="15">
        <v>12</v>
      </c>
      <c r="F94" s="17">
        <v>20000</v>
      </c>
      <c r="G94" s="87">
        <f>F94 *E94</f>
        <v>240000</v>
      </c>
      <c r="H94" s="18"/>
      <c r="K94" s="141" t="s">
        <v>85</v>
      </c>
      <c r="L94" s="142"/>
      <c r="M94" s="142"/>
      <c r="N94" s="142"/>
      <c r="O94" s="142"/>
    </row>
    <row r="95" spans="2:15">
      <c r="B95" s="16">
        <v>18</v>
      </c>
      <c r="C95" s="22" t="s">
        <v>127</v>
      </c>
      <c r="D95" s="15" t="s">
        <v>12</v>
      </c>
      <c r="E95" s="15">
        <v>12</v>
      </c>
      <c r="F95" s="119">
        <v>5000</v>
      </c>
      <c r="G95" s="87">
        <f>F95 *E95</f>
        <v>60000</v>
      </c>
      <c r="H95" s="104"/>
      <c r="K95" s="75"/>
    </row>
    <row r="96" spans="2:15" ht="14" customHeight="1">
      <c r="B96" s="16">
        <v>19</v>
      </c>
      <c r="C96" s="22" t="s">
        <v>13</v>
      </c>
      <c r="D96" s="15" t="s">
        <v>15</v>
      </c>
      <c r="E96" s="15">
        <v>0</v>
      </c>
      <c r="F96" s="98">
        <f>((53*2*1.5)+(26*2*1.5))*893.2</f>
        <v>211688.40000000002</v>
      </c>
      <c r="G96" s="17">
        <f>E96*F96</f>
        <v>0</v>
      </c>
      <c r="H96" s="18"/>
      <c r="I96" s="152" t="s">
        <v>80</v>
      </c>
      <c r="K96" s="75" t="s">
        <v>132</v>
      </c>
    </row>
    <row r="97" spans="1:17" ht="29" customHeight="1">
      <c r="B97" s="16">
        <v>20</v>
      </c>
      <c r="C97" s="21" t="s">
        <v>29</v>
      </c>
      <c r="D97" s="15" t="s">
        <v>12</v>
      </c>
      <c r="E97" s="15">
        <v>12</v>
      </c>
      <c r="F97" s="17">
        <v>5000</v>
      </c>
      <c r="G97" s="17">
        <f>E97*F97</f>
        <v>60000</v>
      </c>
      <c r="H97" s="18"/>
      <c r="I97" s="153"/>
      <c r="J97" s="23"/>
      <c r="K97" s="75"/>
    </row>
    <row r="98" spans="1:17">
      <c r="B98" s="16">
        <v>21</v>
      </c>
      <c r="C98" s="101" t="s">
        <v>119</v>
      </c>
      <c r="D98" s="15" t="s">
        <v>12</v>
      </c>
      <c r="E98" s="15">
        <v>12</v>
      </c>
      <c r="F98" s="88">
        <v>300</v>
      </c>
      <c r="G98" s="17">
        <f>E98*F98</f>
        <v>3600</v>
      </c>
      <c r="I98" s="154"/>
      <c r="K98" s="75"/>
    </row>
    <row r="99" spans="1:17">
      <c r="C99" s="96"/>
      <c r="H99" s="18"/>
    </row>
    <row r="100" spans="1:17" ht="17" customHeight="1">
      <c r="C100" s="4"/>
      <c r="G100" s="18">
        <f>SUM(G75:G98)</f>
        <v>1152301.8799999999</v>
      </c>
      <c r="H100" s="18"/>
      <c r="I100" s="40">
        <f>(G100/'Расчет взносов'!J5)*'Расчет взносов'!AC4</f>
        <v>1300.2079818773793</v>
      </c>
    </row>
    <row r="101" spans="1:17" ht="42" customHeight="1">
      <c r="A101" s="35"/>
      <c r="B101" s="35"/>
      <c r="C101" s="39"/>
      <c r="D101" s="65"/>
      <c r="E101" s="65" t="s">
        <v>38</v>
      </c>
      <c r="F101" s="35"/>
      <c r="G101" s="18"/>
      <c r="I101" s="97"/>
    </row>
    <row r="102" spans="1:17" ht="30" customHeight="1">
      <c r="B102" s="63" t="s">
        <v>21</v>
      </c>
      <c r="C102" s="63"/>
      <c r="G102" s="18"/>
      <c r="K102" s="106"/>
    </row>
    <row r="103" spans="1:17" ht="42">
      <c r="B103" s="72" t="s">
        <v>82</v>
      </c>
      <c r="C103" s="72" t="s">
        <v>81</v>
      </c>
      <c r="D103" s="73" t="s">
        <v>9</v>
      </c>
      <c r="E103" s="74" t="s">
        <v>10</v>
      </c>
      <c r="F103" s="73" t="s">
        <v>4</v>
      </c>
      <c r="G103" s="76" t="s">
        <v>5</v>
      </c>
      <c r="H103" s="18"/>
      <c r="K103" s="75"/>
      <c r="L103" s="106"/>
      <c r="M103" s="106"/>
      <c r="N103" s="106"/>
      <c r="O103" s="106"/>
      <c r="P103" s="106"/>
      <c r="Q103" s="106"/>
    </row>
    <row r="104" spans="1:17" ht="28">
      <c r="B104" s="72">
        <v>1</v>
      </c>
      <c r="C104" s="100" t="s">
        <v>129</v>
      </c>
      <c r="D104" s="73" t="s">
        <v>15</v>
      </c>
      <c r="E104" s="74">
        <v>0</v>
      </c>
      <c r="F104" s="73">
        <v>40000</v>
      </c>
      <c r="G104" s="76">
        <f t="shared" ref="G104:G117" si="7">E104*F104</f>
        <v>0</v>
      </c>
      <c r="H104" s="18"/>
      <c r="K104" s="75"/>
      <c r="L104" s="106"/>
      <c r="M104" s="106"/>
      <c r="N104" s="106"/>
      <c r="O104" s="106"/>
      <c r="P104" s="106"/>
      <c r="Q104" s="106"/>
    </row>
    <row r="105" spans="1:17" ht="45" customHeight="1">
      <c r="B105" s="72">
        <v>2</v>
      </c>
      <c r="C105" s="100" t="s">
        <v>110</v>
      </c>
      <c r="D105" s="73" t="s">
        <v>15</v>
      </c>
      <c r="E105" s="74">
        <v>1</v>
      </c>
      <c r="F105" s="73">
        <v>0</v>
      </c>
      <c r="G105" s="76">
        <f t="shared" si="7"/>
        <v>0</v>
      </c>
      <c r="H105" s="18"/>
      <c r="K105" s="75"/>
      <c r="L105" s="106"/>
      <c r="M105" s="106"/>
      <c r="N105" s="106"/>
      <c r="O105" s="106"/>
      <c r="P105" s="106"/>
      <c r="Q105" s="106"/>
    </row>
    <row r="106" spans="1:17" ht="42">
      <c r="B106" s="16">
        <v>3</v>
      </c>
      <c r="C106" s="21" t="s">
        <v>111</v>
      </c>
      <c r="D106" s="15" t="s">
        <v>24</v>
      </c>
      <c r="E106" s="15">
        <v>1</v>
      </c>
      <c r="F106" s="87">
        <v>27000</v>
      </c>
      <c r="G106" s="76">
        <f t="shared" si="7"/>
        <v>27000</v>
      </c>
      <c r="H106" s="18"/>
      <c r="K106" s="155"/>
      <c r="L106" s="156"/>
      <c r="M106" s="156"/>
      <c r="N106" s="156"/>
      <c r="O106" s="156"/>
      <c r="P106" s="156"/>
      <c r="Q106" s="156"/>
    </row>
    <row r="107" spans="1:17" ht="28">
      <c r="B107" s="16">
        <v>4</v>
      </c>
      <c r="C107" s="100" t="s">
        <v>22</v>
      </c>
      <c r="D107" s="15" t="s">
        <v>24</v>
      </c>
      <c r="E107" s="20">
        <v>0</v>
      </c>
      <c r="F107" s="102">
        <v>10000</v>
      </c>
      <c r="G107" s="76">
        <f t="shared" si="7"/>
        <v>0</v>
      </c>
      <c r="H107" s="18"/>
      <c r="K107" s="113"/>
      <c r="L107" s="120"/>
      <c r="M107" s="120"/>
      <c r="N107" s="120"/>
      <c r="O107" s="120"/>
      <c r="P107" s="120"/>
      <c r="Q107" s="106"/>
    </row>
    <row r="108" spans="1:17" ht="12" customHeight="1">
      <c r="B108" s="16">
        <v>5</v>
      </c>
      <c r="C108" s="21" t="s">
        <v>23</v>
      </c>
      <c r="D108" s="15" t="s">
        <v>24</v>
      </c>
      <c r="E108" s="15">
        <v>1</v>
      </c>
      <c r="F108" s="99">
        <v>10000</v>
      </c>
      <c r="G108" s="76">
        <f t="shared" si="7"/>
        <v>10000</v>
      </c>
      <c r="H108" s="18"/>
      <c r="K108" s="113"/>
      <c r="L108" s="120"/>
      <c r="M108" s="120"/>
      <c r="N108" s="120"/>
      <c r="O108" s="120"/>
      <c r="P108" s="120"/>
      <c r="Q108" s="106"/>
    </row>
    <row r="109" spans="1:17" ht="12" customHeight="1">
      <c r="B109" s="16">
        <v>6</v>
      </c>
      <c r="C109" s="100" t="s">
        <v>112</v>
      </c>
      <c r="D109" s="15" t="s">
        <v>24</v>
      </c>
      <c r="E109" s="20">
        <v>0</v>
      </c>
      <c r="F109" s="102">
        <v>40000</v>
      </c>
      <c r="G109" s="76">
        <f t="shared" si="7"/>
        <v>0</v>
      </c>
      <c r="H109" s="104"/>
      <c r="K109" s="121"/>
      <c r="L109" s="108"/>
      <c r="M109" s="108"/>
      <c r="N109" s="108"/>
      <c r="O109" s="108"/>
      <c r="P109" s="108"/>
      <c r="Q109" s="106"/>
    </row>
    <row r="110" spans="1:17" ht="70">
      <c r="B110" s="16">
        <v>7</v>
      </c>
      <c r="C110" s="100" t="s">
        <v>125</v>
      </c>
      <c r="D110" s="15" t="s">
        <v>24</v>
      </c>
      <c r="E110" s="20">
        <v>1</v>
      </c>
      <c r="F110" s="107">
        <v>80000</v>
      </c>
      <c r="G110" s="76">
        <f t="shared" si="7"/>
        <v>80000</v>
      </c>
      <c r="H110" s="104"/>
      <c r="K110" s="145" t="s">
        <v>131</v>
      </c>
      <c r="L110" s="146"/>
      <c r="M110" s="146"/>
      <c r="N110" s="146"/>
      <c r="O110" s="146"/>
      <c r="P110" s="146"/>
      <c r="Q110" s="147"/>
    </row>
    <row r="111" spans="1:17" ht="14" customHeight="1">
      <c r="B111" s="16">
        <v>8</v>
      </c>
      <c r="C111" s="21" t="s">
        <v>128</v>
      </c>
      <c r="D111" s="25" t="s">
        <v>15</v>
      </c>
      <c r="E111" s="118">
        <v>1</v>
      </c>
      <c r="F111" s="88">
        <v>52000</v>
      </c>
      <c r="G111" s="76">
        <f t="shared" si="7"/>
        <v>52000</v>
      </c>
      <c r="H111" s="104"/>
      <c r="K111" s="121"/>
      <c r="L111" s="108"/>
      <c r="M111" s="108"/>
      <c r="N111" s="108"/>
      <c r="O111" s="108"/>
      <c r="P111" s="108"/>
      <c r="Q111" s="106"/>
    </row>
    <row r="112" spans="1:17">
      <c r="B112" s="16">
        <v>9</v>
      </c>
      <c r="C112" s="22" t="s">
        <v>31</v>
      </c>
      <c r="D112" s="15" t="s">
        <v>18</v>
      </c>
      <c r="E112" s="15">
        <v>1</v>
      </c>
      <c r="F112" s="17">
        <f>3*5*4000</f>
        <v>60000</v>
      </c>
      <c r="G112" s="76">
        <f t="shared" si="7"/>
        <v>60000</v>
      </c>
      <c r="H112" s="18"/>
      <c r="K112" s="75"/>
      <c r="L112" s="106"/>
      <c r="M112" s="106"/>
      <c r="N112" s="106"/>
      <c r="O112" s="106"/>
      <c r="P112" s="106"/>
      <c r="Q112" s="106"/>
    </row>
    <row r="113" spans="1:11" ht="56">
      <c r="B113" s="16">
        <v>10</v>
      </c>
      <c r="C113" s="21" t="s">
        <v>109</v>
      </c>
      <c r="D113" s="15" t="s">
        <v>24</v>
      </c>
      <c r="E113" s="116">
        <v>1</v>
      </c>
      <c r="F113" s="17">
        <v>200000</v>
      </c>
      <c r="G113" s="76">
        <f t="shared" si="7"/>
        <v>200000</v>
      </c>
      <c r="H113" s="18"/>
      <c r="K113" s="75"/>
    </row>
    <row r="114" spans="1:11" ht="14" customHeight="1">
      <c r="B114" s="16">
        <v>11</v>
      </c>
      <c r="C114" s="22" t="s">
        <v>14</v>
      </c>
      <c r="D114" s="15" t="s">
        <v>15</v>
      </c>
      <c r="E114" s="15">
        <v>1</v>
      </c>
      <c r="F114" s="17">
        <v>20000</v>
      </c>
      <c r="G114" s="76">
        <f t="shared" si="7"/>
        <v>20000</v>
      </c>
      <c r="H114" s="18"/>
      <c r="I114" s="148" t="s">
        <v>80</v>
      </c>
    </row>
    <row r="115" spans="1:11">
      <c r="B115" s="16">
        <v>12</v>
      </c>
      <c r="C115" s="67" t="s">
        <v>27</v>
      </c>
      <c r="D115" s="68" t="s">
        <v>24</v>
      </c>
      <c r="E115" s="117">
        <v>0</v>
      </c>
      <c r="F115" s="46">
        <v>60000</v>
      </c>
      <c r="G115" s="76">
        <f t="shared" si="7"/>
        <v>0</v>
      </c>
      <c r="H115" s="26"/>
      <c r="I115" s="149"/>
    </row>
    <row r="116" spans="1:11">
      <c r="A116" s="96"/>
      <c r="B116" s="16">
        <v>13</v>
      </c>
      <c r="C116" s="101" t="s">
        <v>30</v>
      </c>
      <c r="D116" s="25" t="s">
        <v>24</v>
      </c>
      <c r="E116" s="118">
        <v>0</v>
      </c>
      <c r="F116" s="88"/>
      <c r="G116" s="76">
        <f t="shared" si="7"/>
        <v>0</v>
      </c>
      <c r="H116" s="18"/>
      <c r="I116" s="149"/>
      <c r="K116" s="75"/>
    </row>
    <row r="117" spans="1:11">
      <c r="A117" s="39"/>
      <c r="B117" s="16">
        <v>14</v>
      </c>
      <c r="C117" s="21" t="s">
        <v>104</v>
      </c>
      <c r="D117" s="25" t="s">
        <v>15</v>
      </c>
      <c r="E117" s="118">
        <v>0</v>
      </c>
      <c r="F117" s="88"/>
      <c r="G117" s="76">
        <f t="shared" si="7"/>
        <v>0</v>
      </c>
      <c r="H117" s="18"/>
      <c r="I117" s="150"/>
      <c r="K117" s="75"/>
    </row>
    <row r="118" spans="1:11">
      <c r="A118" s="96"/>
      <c r="B118" s="35"/>
      <c r="C118" s="96"/>
      <c r="D118" s="27"/>
      <c r="E118" s="27"/>
      <c r="F118" s="96"/>
      <c r="G118" s="18"/>
    </row>
    <row r="119" spans="1:11">
      <c r="A119" s="96"/>
      <c r="B119" s="35"/>
      <c r="C119" s="96"/>
      <c r="D119" s="27"/>
      <c r="E119" s="27"/>
      <c r="F119" s="96"/>
      <c r="G119" s="18">
        <f>SUM(G104:G117)</f>
        <v>449000</v>
      </c>
      <c r="H119" s="18"/>
      <c r="I119" s="40">
        <f>G119/'Расчет взносов'!J5</f>
        <v>386.74223500835501</v>
      </c>
    </row>
    <row r="120" spans="1:11">
      <c r="A120" s="96"/>
      <c r="B120" s="35"/>
    </row>
    <row r="121" spans="1:11">
      <c r="A121" s="28"/>
      <c r="B121" s="35"/>
    </row>
    <row r="122" spans="1:11">
      <c r="A122" s="39"/>
      <c r="B122" s="16">
        <v>1</v>
      </c>
      <c r="C122" s="30" t="s">
        <v>116</v>
      </c>
      <c r="D122" s="15"/>
      <c r="E122" s="15"/>
      <c r="F122" s="16"/>
      <c r="G122" s="17">
        <v>3000</v>
      </c>
      <c r="K122" s="75"/>
    </row>
    <row r="123" spans="1:11">
      <c r="A123" s="39"/>
      <c r="B123" s="16">
        <v>2</v>
      </c>
      <c r="C123" s="30" t="s">
        <v>130</v>
      </c>
      <c r="D123" s="15"/>
      <c r="E123" s="15"/>
      <c r="F123" s="16"/>
      <c r="G123" s="17">
        <v>3000</v>
      </c>
      <c r="K123" s="75"/>
    </row>
    <row r="124" spans="1:11" ht="23">
      <c r="A124" s="69"/>
      <c r="B124" s="16">
        <v>3</v>
      </c>
      <c r="C124" s="30" t="s">
        <v>25</v>
      </c>
      <c r="D124" s="15"/>
      <c r="E124" s="15"/>
      <c r="F124" s="16"/>
      <c r="G124" s="17">
        <v>3000</v>
      </c>
      <c r="J124" s="69"/>
      <c r="K124" s="75"/>
    </row>
    <row r="125" spans="1:11" ht="22" customHeight="1">
      <c r="A125" s="35"/>
      <c r="B125" s="16">
        <v>4</v>
      </c>
      <c r="C125" s="30" t="s">
        <v>26</v>
      </c>
      <c r="D125" s="15" t="s">
        <v>41</v>
      </c>
      <c r="E125" s="15"/>
      <c r="F125" s="16"/>
      <c r="G125" s="17"/>
      <c r="K125" s="75"/>
    </row>
    <row r="126" spans="1:11">
      <c r="B126" s="31"/>
      <c r="D126" s="3"/>
      <c r="E126" s="3"/>
      <c r="G126" s="18"/>
    </row>
    <row r="127" spans="1:11">
      <c r="D127" s="3"/>
      <c r="E127" s="3"/>
      <c r="G127" s="18"/>
    </row>
    <row r="128" spans="1:11" ht="21" customHeight="1">
      <c r="D128" s="3"/>
      <c r="E128" s="3"/>
      <c r="G128" s="47" t="s">
        <v>83</v>
      </c>
      <c r="H128" s="18"/>
      <c r="I128" s="76">
        <f>I100+I119</f>
        <v>1686.9502168857343</v>
      </c>
    </row>
    <row r="129" spans="1:11" ht="23" customHeight="1">
      <c r="D129" s="3"/>
      <c r="E129" s="3"/>
      <c r="G129" s="18"/>
    </row>
    <row r="130" spans="1:11" ht="43" customHeight="1" thickBot="1">
      <c r="A130" s="33"/>
      <c r="B130" s="33"/>
      <c r="C130" s="33"/>
      <c r="D130" s="34"/>
      <c r="E130" s="34"/>
      <c r="F130" s="33"/>
      <c r="G130" s="77"/>
      <c r="H130" s="32"/>
      <c r="I130" s="34"/>
      <c r="J130" s="32"/>
    </row>
    <row r="131" spans="1:11" ht="43" customHeight="1">
      <c r="A131" s="122"/>
      <c r="B131" s="122"/>
      <c r="C131" s="122"/>
      <c r="D131" s="123"/>
      <c r="E131" s="123"/>
      <c r="F131" s="122"/>
      <c r="G131" s="124"/>
      <c r="H131" s="106"/>
      <c r="I131" s="123"/>
      <c r="J131" s="106"/>
    </row>
    <row r="132" spans="1:11" ht="43" customHeight="1">
      <c r="A132" s="122"/>
      <c r="B132" s="125" t="s">
        <v>133</v>
      </c>
      <c r="D132" s="123"/>
      <c r="E132" s="123"/>
      <c r="F132" s="122"/>
      <c r="G132" s="124"/>
      <c r="H132" s="106"/>
      <c r="I132" s="123"/>
      <c r="J132" s="106"/>
    </row>
    <row r="133" spans="1:11" ht="43" customHeight="1">
      <c r="A133" s="122"/>
      <c r="B133" s="122"/>
      <c r="C133" s="122"/>
      <c r="D133" s="123"/>
      <c r="E133" s="123"/>
      <c r="F133" s="122"/>
      <c r="G133" s="124"/>
      <c r="H133" s="106"/>
      <c r="I133" s="123"/>
      <c r="J133" s="106"/>
    </row>
    <row r="134" spans="1:11" ht="18">
      <c r="B134" s="63" t="s">
        <v>3</v>
      </c>
      <c r="C134" s="63"/>
    </row>
    <row r="135" spans="1:11" ht="42">
      <c r="B135" s="72" t="s">
        <v>82</v>
      </c>
      <c r="C135" s="72" t="s">
        <v>81</v>
      </c>
      <c r="D135" s="73" t="s">
        <v>9</v>
      </c>
      <c r="E135" s="74" t="s">
        <v>10</v>
      </c>
      <c r="F135" s="73" t="s">
        <v>4</v>
      </c>
      <c r="G135" s="76" t="s">
        <v>5</v>
      </c>
      <c r="H135" s="5"/>
      <c r="I135" s="65"/>
      <c r="J135" s="35"/>
      <c r="K135" s="75"/>
    </row>
    <row r="136" spans="1:11">
      <c r="B136" s="89"/>
      <c r="C136" s="90" t="s">
        <v>6</v>
      </c>
      <c r="D136" s="91"/>
      <c r="E136" s="91"/>
      <c r="F136" s="89"/>
      <c r="G136" s="92"/>
      <c r="H136" s="11"/>
      <c r="I136" s="143"/>
      <c r="J136" s="35"/>
      <c r="K136" s="75"/>
    </row>
    <row r="137" spans="1:11">
      <c r="B137" s="89">
        <v>1</v>
      </c>
      <c r="C137" s="89" t="s">
        <v>2</v>
      </c>
      <c r="D137" s="91" t="s">
        <v>7</v>
      </c>
      <c r="E137" s="91">
        <v>12</v>
      </c>
      <c r="F137" s="92">
        <v>0</v>
      </c>
      <c r="G137" s="92">
        <f t="shared" ref="G137" si="8">F137 *E137</f>
        <v>0</v>
      </c>
      <c r="H137" s="18"/>
      <c r="I137" s="143"/>
      <c r="J137" s="35"/>
      <c r="K137" s="75"/>
    </row>
    <row r="138" spans="1:11">
      <c r="B138" s="89">
        <v>2</v>
      </c>
      <c r="C138" s="89" t="s">
        <v>108</v>
      </c>
      <c r="D138" s="91" t="s">
        <v>8</v>
      </c>
      <c r="E138" s="91">
        <v>0</v>
      </c>
      <c r="F138" s="92">
        <v>25000</v>
      </c>
      <c r="G138" s="92">
        <f>F138 *E138</f>
        <v>0</v>
      </c>
      <c r="H138" s="18"/>
      <c r="I138" s="143"/>
      <c r="J138" s="35"/>
      <c r="K138" s="75" t="s">
        <v>113</v>
      </c>
    </row>
    <row r="139" spans="1:11">
      <c r="B139" s="89">
        <v>3</v>
      </c>
      <c r="C139" s="89" t="s">
        <v>114</v>
      </c>
      <c r="D139" s="91" t="s">
        <v>8</v>
      </c>
      <c r="E139" s="91">
        <v>12</v>
      </c>
      <c r="F139" s="92">
        <v>20000</v>
      </c>
      <c r="G139" s="92">
        <f t="shared" ref="G139:G143" si="9">F139 *E139</f>
        <v>240000</v>
      </c>
      <c r="H139" s="18"/>
      <c r="I139" s="143"/>
      <c r="J139" s="35"/>
      <c r="K139" s="75"/>
    </row>
    <row r="140" spans="1:11">
      <c r="B140" s="89">
        <v>4</v>
      </c>
      <c r="C140" s="89" t="s">
        <v>115</v>
      </c>
      <c r="D140" s="91" t="s">
        <v>8</v>
      </c>
      <c r="E140" s="91">
        <v>12</v>
      </c>
      <c r="F140" s="92">
        <v>20000</v>
      </c>
      <c r="G140" s="92">
        <f t="shared" si="9"/>
        <v>240000</v>
      </c>
      <c r="H140" s="104"/>
      <c r="I140" s="112"/>
      <c r="J140" s="106"/>
      <c r="K140" s="75"/>
    </row>
    <row r="141" spans="1:11">
      <c r="B141" s="89">
        <v>5</v>
      </c>
      <c r="C141" s="89" t="s">
        <v>121</v>
      </c>
      <c r="D141" s="91" t="s">
        <v>8</v>
      </c>
      <c r="E141" s="91">
        <v>0</v>
      </c>
      <c r="F141" s="92">
        <v>5000</v>
      </c>
      <c r="G141" s="92">
        <f t="shared" si="9"/>
        <v>0</v>
      </c>
      <c r="H141" s="18"/>
      <c r="I141" s="111"/>
      <c r="J141" s="35"/>
      <c r="K141" s="75" t="s">
        <v>132</v>
      </c>
    </row>
    <row r="142" spans="1:11">
      <c r="B142" s="89">
        <v>6</v>
      </c>
      <c r="C142" s="89" t="s">
        <v>122</v>
      </c>
      <c r="D142" s="91" t="s">
        <v>8</v>
      </c>
      <c r="E142" s="91">
        <v>0</v>
      </c>
      <c r="F142" s="92">
        <v>2000</v>
      </c>
      <c r="G142" s="92">
        <f t="shared" si="9"/>
        <v>0</v>
      </c>
      <c r="H142" s="18"/>
      <c r="I142" s="111"/>
      <c r="J142" s="35"/>
      <c r="K142" s="75" t="s">
        <v>132</v>
      </c>
    </row>
    <row r="143" spans="1:11">
      <c r="B143" s="89">
        <v>7</v>
      </c>
      <c r="C143" s="89" t="s">
        <v>123</v>
      </c>
      <c r="D143" s="91" t="s">
        <v>8</v>
      </c>
      <c r="E143" s="91">
        <v>0</v>
      </c>
      <c r="F143" s="92">
        <v>2000</v>
      </c>
      <c r="G143" s="92">
        <f t="shared" si="9"/>
        <v>0</v>
      </c>
      <c r="H143" s="104"/>
      <c r="I143" s="112"/>
      <c r="J143" s="106"/>
      <c r="K143" s="75" t="s">
        <v>132</v>
      </c>
    </row>
    <row r="144" spans="1:11">
      <c r="B144" s="114"/>
      <c r="C144" s="106"/>
      <c r="D144" s="115"/>
      <c r="E144" s="115"/>
      <c r="F144" s="106"/>
      <c r="G144" s="104"/>
      <c r="H144" s="18"/>
      <c r="I144" s="111"/>
      <c r="J144" s="35"/>
      <c r="K144" s="75"/>
    </row>
    <row r="145" spans="2:15">
      <c r="B145" s="89"/>
      <c r="C145" s="89"/>
      <c r="D145" s="91"/>
      <c r="E145" s="91"/>
      <c r="F145" s="89"/>
      <c r="G145" s="92"/>
      <c r="I145" s="111"/>
      <c r="J145" s="35"/>
      <c r="K145" s="75"/>
    </row>
    <row r="146" spans="2:15">
      <c r="B146" s="89">
        <v>7</v>
      </c>
      <c r="C146" s="90" t="s">
        <v>11</v>
      </c>
      <c r="D146" s="91" t="s">
        <v>15</v>
      </c>
      <c r="E146" s="91">
        <v>1</v>
      </c>
      <c r="F146" s="92">
        <f>(G137+G138+G139+G140+G141+G142+G143)/100*49.656</f>
        <v>238348.79999999999</v>
      </c>
      <c r="G146" s="92">
        <f>E146*F146</f>
        <v>238348.79999999999</v>
      </c>
      <c r="I146" s="143"/>
      <c r="K146" s="75"/>
    </row>
    <row r="147" spans="2:15">
      <c r="B147" s="89">
        <v>8</v>
      </c>
      <c r="C147" s="90" t="s">
        <v>118</v>
      </c>
      <c r="D147" s="91" t="s">
        <v>15</v>
      </c>
      <c r="E147" s="91">
        <v>1</v>
      </c>
      <c r="F147" s="92">
        <v>10000</v>
      </c>
      <c r="G147" s="92">
        <f>E147*F147</f>
        <v>10000</v>
      </c>
      <c r="H147" s="18"/>
      <c r="I147" s="143"/>
      <c r="K147" s="75"/>
    </row>
    <row r="148" spans="2:15">
      <c r="B148" s="89">
        <v>9</v>
      </c>
      <c r="C148" s="89" t="s">
        <v>124</v>
      </c>
      <c r="D148" s="91" t="s">
        <v>7</v>
      </c>
      <c r="E148" s="91">
        <v>4</v>
      </c>
      <c r="F148" s="92">
        <v>15000</v>
      </c>
      <c r="G148" s="92">
        <f>F148 *E148</f>
        <v>60000</v>
      </c>
      <c r="H148" s="104"/>
      <c r="I148" s="144"/>
      <c r="K148" s="75"/>
    </row>
    <row r="149" spans="2:15">
      <c r="B149" s="89">
        <v>10</v>
      </c>
      <c r="C149" s="94" t="s">
        <v>16</v>
      </c>
      <c r="D149" s="95" t="s">
        <v>15</v>
      </c>
      <c r="E149" s="95">
        <v>1</v>
      </c>
      <c r="F149" s="93">
        <v>0</v>
      </c>
      <c r="G149" s="92">
        <f t="shared" ref="G149:G154" si="10">F149 *E149</f>
        <v>0</v>
      </c>
      <c r="H149" s="18"/>
      <c r="I149" s="143"/>
      <c r="K149" s="75"/>
    </row>
    <row r="150" spans="2:15">
      <c r="B150" s="89">
        <v>11</v>
      </c>
      <c r="C150" s="89" t="s">
        <v>19</v>
      </c>
      <c r="D150" s="91" t="s">
        <v>15</v>
      </c>
      <c r="E150" s="91">
        <v>1</v>
      </c>
      <c r="F150" s="92">
        <v>3000</v>
      </c>
      <c r="G150" s="92">
        <f t="shared" si="10"/>
        <v>3000</v>
      </c>
      <c r="H150" s="18"/>
      <c r="I150" s="143"/>
      <c r="K150" s="75"/>
    </row>
    <row r="151" spans="2:15">
      <c r="B151" s="89">
        <v>12</v>
      </c>
      <c r="C151" s="89" t="s">
        <v>20</v>
      </c>
      <c r="D151" s="91" t="s">
        <v>12</v>
      </c>
      <c r="E151" s="91">
        <v>12</v>
      </c>
      <c r="F151" s="92">
        <v>1000</v>
      </c>
      <c r="G151" s="92">
        <f t="shared" si="10"/>
        <v>12000</v>
      </c>
      <c r="H151" s="18"/>
      <c r="I151" s="111"/>
      <c r="K151" s="75"/>
    </row>
    <row r="152" spans="2:15">
      <c r="B152" s="89">
        <v>13</v>
      </c>
      <c r="C152" s="89" t="s">
        <v>17</v>
      </c>
      <c r="D152" s="91" t="s">
        <v>15</v>
      </c>
      <c r="E152" s="91">
        <v>1</v>
      </c>
      <c r="F152" s="92">
        <v>899</v>
      </c>
      <c r="G152" s="92">
        <f t="shared" si="10"/>
        <v>899</v>
      </c>
      <c r="H152" s="18"/>
      <c r="I152" s="111"/>
      <c r="K152" s="75"/>
    </row>
    <row r="153" spans="2:15">
      <c r="B153" s="89">
        <v>14</v>
      </c>
      <c r="C153" s="89" t="s">
        <v>103</v>
      </c>
      <c r="D153" s="91" t="s">
        <v>15</v>
      </c>
      <c r="E153" s="91"/>
      <c r="F153" s="92">
        <v>50000</v>
      </c>
      <c r="G153" s="92">
        <f t="shared" si="10"/>
        <v>0</v>
      </c>
      <c r="H153" s="18"/>
      <c r="I153" s="111"/>
      <c r="K153" s="75" t="s">
        <v>132</v>
      </c>
    </row>
    <row r="154" spans="2:15" ht="56">
      <c r="B154" s="16">
        <v>15</v>
      </c>
      <c r="C154" s="21" t="s">
        <v>117</v>
      </c>
      <c r="D154" s="15" t="s">
        <v>12</v>
      </c>
      <c r="E154" s="15">
        <v>6</v>
      </c>
      <c r="F154" s="17">
        <v>8500</v>
      </c>
      <c r="G154" s="17">
        <f t="shared" si="10"/>
        <v>51000</v>
      </c>
      <c r="H154" s="18"/>
      <c r="I154" s="111"/>
      <c r="K154" s="141" t="s">
        <v>134</v>
      </c>
      <c r="L154" s="142"/>
      <c r="M154" s="142"/>
      <c r="N154" s="142"/>
      <c r="O154" s="142"/>
    </row>
    <row r="155" spans="2:15">
      <c r="B155" s="16">
        <v>16</v>
      </c>
      <c r="C155" s="22" t="s">
        <v>28</v>
      </c>
      <c r="D155" s="15" t="s">
        <v>15</v>
      </c>
      <c r="E155" s="15">
        <v>0</v>
      </c>
      <c r="F155" s="17">
        <v>30000</v>
      </c>
      <c r="G155" s="17">
        <f>E155*F155</f>
        <v>0</v>
      </c>
      <c r="H155" s="18"/>
      <c r="K155" s="75" t="s">
        <v>132</v>
      </c>
    </row>
    <row r="156" spans="2:15">
      <c r="B156" s="16">
        <v>17</v>
      </c>
      <c r="C156" s="22" t="s">
        <v>135</v>
      </c>
      <c r="D156" s="15" t="s">
        <v>12</v>
      </c>
      <c r="E156" s="15">
        <v>12</v>
      </c>
      <c r="F156" s="17">
        <v>3000</v>
      </c>
      <c r="G156" s="87">
        <f>F156 *E156</f>
        <v>36000</v>
      </c>
      <c r="H156" s="18"/>
      <c r="K156" s="141" t="s">
        <v>136</v>
      </c>
      <c r="L156" s="151"/>
      <c r="M156" s="151"/>
      <c r="N156" s="151"/>
      <c r="O156" s="151"/>
    </row>
    <row r="157" spans="2:15">
      <c r="B157" s="16">
        <v>18</v>
      </c>
      <c r="C157" s="22" t="s">
        <v>127</v>
      </c>
      <c r="D157" s="15" t="s">
        <v>12</v>
      </c>
      <c r="E157" s="15">
        <v>0</v>
      </c>
      <c r="F157" s="119">
        <v>5000</v>
      </c>
      <c r="G157" s="87">
        <f>F157 *E157</f>
        <v>0</v>
      </c>
      <c r="H157" s="104"/>
      <c r="K157" s="75" t="s">
        <v>132</v>
      </c>
    </row>
    <row r="158" spans="2:15" ht="14" customHeight="1">
      <c r="B158" s="16">
        <v>19</v>
      </c>
      <c r="C158" s="22" t="s">
        <v>13</v>
      </c>
      <c r="D158" s="15" t="s">
        <v>15</v>
      </c>
      <c r="E158" s="15">
        <v>1</v>
      </c>
      <c r="F158" s="98">
        <f>((53*2*1.5)+(26*2*1.5))*893.2</f>
        <v>211688.40000000002</v>
      </c>
      <c r="G158" s="17">
        <f>E158*F158</f>
        <v>211688.40000000002</v>
      </c>
      <c r="H158" s="18"/>
      <c r="I158" s="152" t="s">
        <v>80</v>
      </c>
      <c r="K158" s="75"/>
    </row>
    <row r="159" spans="2:15" ht="28" customHeight="1">
      <c r="B159" s="16">
        <v>20</v>
      </c>
      <c r="C159" s="21" t="s">
        <v>29</v>
      </c>
      <c r="D159" s="15" t="s">
        <v>12</v>
      </c>
      <c r="E159" s="15">
        <v>0</v>
      </c>
      <c r="F159" s="17">
        <v>5000</v>
      </c>
      <c r="G159" s="17">
        <f>E159*F159</f>
        <v>0</v>
      </c>
      <c r="H159" s="18"/>
      <c r="I159" s="153"/>
      <c r="J159" s="23"/>
      <c r="K159" s="75" t="s">
        <v>132</v>
      </c>
    </row>
    <row r="160" spans="2:15">
      <c r="B160" s="16">
        <v>21</v>
      </c>
      <c r="C160" s="101" t="s">
        <v>119</v>
      </c>
      <c r="D160" s="15" t="s">
        <v>12</v>
      </c>
      <c r="E160" s="15">
        <v>12</v>
      </c>
      <c r="F160" s="88">
        <v>300</v>
      </c>
      <c r="G160" s="17">
        <f>E160*F160</f>
        <v>3600</v>
      </c>
      <c r="I160" s="154"/>
      <c r="K160" s="75"/>
    </row>
    <row r="161" spans="1:17">
      <c r="C161" s="96"/>
      <c r="H161" s="18"/>
    </row>
    <row r="162" spans="1:17">
      <c r="C162" s="4"/>
      <c r="G162" s="18">
        <f>SUM(G137:G160)</f>
        <v>1106536.2000000002</v>
      </c>
      <c r="H162" s="18"/>
      <c r="I162" s="40">
        <f>G162/'Расчет взносов'!J5</f>
        <v>953.10530758497146</v>
      </c>
    </row>
    <row r="163" spans="1:17">
      <c r="A163" s="35"/>
      <c r="B163" s="35"/>
      <c r="C163" s="39"/>
      <c r="D163" s="65"/>
      <c r="E163" s="65" t="s">
        <v>38</v>
      </c>
      <c r="F163" s="35"/>
      <c r="G163" s="18"/>
      <c r="I163" s="97"/>
    </row>
    <row r="164" spans="1:17">
      <c r="C164" s="96"/>
      <c r="G164" s="18"/>
    </row>
    <row r="165" spans="1:17" ht="18">
      <c r="B165" s="63" t="s">
        <v>21</v>
      </c>
      <c r="C165" s="63"/>
      <c r="G165" s="18"/>
      <c r="K165" s="106"/>
    </row>
    <row r="166" spans="1:17" ht="42">
      <c r="B166" s="72" t="s">
        <v>82</v>
      </c>
      <c r="C166" s="72" t="s">
        <v>81</v>
      </c>
      <c r="D166" s="73" t="s">
        <v>9</v>
      </c>
      <c r="E166" s="74" t="s">
        <v>10</v>
      </c>
      <c r="F166" s="73" t="s">
        <v>4</v>
      </c>
      <c r="G166" s="76" t="s">
        <v>5</v>
      </c>
      <c r="H166" s="18"/>
      <c r="K166" s="75"/>
      <c r="L166" s="106"/>
      <c r="M166" s="106"/>
      <c r="N166" s="106"/>
      <c r="O166" s="106"/>
      <c r="P166" s="106"/>
      <c r="Q166" s="106"/>
    </row>
    <row r="167" spans="1:17" ht="28">
      <c r="B167" s="72">
        <v>1</v>
      </c>
      <c r="C167" s="100" t="s">
        <v>129</v>
      </c>
      <c r="D167" s="73" t="s">
        <v>15</v>
      </c>
      <c r="E167" s="74">
        <v>0</v>
      </c>
      <c r="F167" s="73">
        <v>40000</v>
      </c>
      <c r="G167" s="76">
        <f t="shared" ref="G167:G180" si="11">E167*F167</f>
        <v>0</v>
      </c>
      <c r="H167" s="18"/>
      <c r="K167" s="75"/>
      <c r="L167" s="106"/>
      <c r="M167" s="106"/>
      <c r="N167" s="106"/>
      <c r="O167" s="106"/>
      <c r="P167" s="106"/>
      <c r="Q167" s="106"/>
    </row>
    <row r="168" spans="1:17">
      <c r="B168" s="72">
        <v>2</v>
      </c>
      <c r="C168" s="100" t="s">
        <v>110</v>
      </c>
      <c r="D168" s="73" t="s">
        <v>15</v>
      </c>
      <c r="E168" s="74">
        <v>1</v>
      </c>
      <c r="F168" s="73">
        <v>0</v>
      </c>
      <c r="G168" s="76">
        <f t="shared" si="11"/>
        <v>0</v>
      </c>
      <c r="H168" s="18"/>
      <c r="K168" s="75"/>
      <c r="L168" s="106"/>
      <c r="M168" s="106"/>
      <c r="N168" s="106"/>
      <c r="O168" s="106"/>
      <c r="P168" s="106"/>
      <c r="Q168" s="106"/>
    </row>
    <row r="169" spans="1:17" ht="42">
      <c r="B169" s="16">
        <v>3</v>
      </c>
      <c r="C169" s="21" t="s">
        <v>111</v>
      </c>
      <c r="D169" s="15" t="s">
        <v>24</v>
      </c>
      <c r="E169" s="15">
        <v>1</v>
      </c>
      <c r="F169" s="87">
        <v>27000</v>
      </c>
      <c r="G169" s="76">
        <f t="shared" si="11"/>
        <v>27000</v>
      </c>
      <c r="H169" s="18"/>
      <c r="K169" s="155"/>
      <c r="L169" s="156"/>
      <c r="M169" s="156"/>
      <c r="N169" s="156"/>
      <c r="O169" s="156"/>
      <c r="P169" s="156"/>
      <c r="Q169" s="156"/>
    </row>
    <row r="170" spans="1:17" ht="28" customHeight="1">
      <c r="B170" s="16">
        <v>4</v>
      </c>
      <c r="C170" s="100" t="s">
        <v>22</v>
      </c>
      <c r="D170" s="15" t="s">
        <v>24</v>
      </c>
      <c r="E170" s="20">
        <v>0</v>
      </c>
      <c r="F170" s="102">
        <v>10000</v>
      </c>
      <c r="G170" s="76">
        <f t="shared" si="11"/>
        <v>0</v>
      </c>
      <c r="H170" s="18"/>
      <c r="K170" s="113"/>
      <c r="L170" s="120"/>
      <c r="M170" s="120"/>
      <c r="N170" s="120"/>
      <c r="O170" s="120"/>
      <c r="P170" s="120"/>
      <c r="Q170" s="106"/>
    </row>
    <row r="171" spans="1:17" ht="28">
      <c r="B171" s="16">
        <v>5</v>
      </c>
      <c r="C171" s="21" t="s">
        <v>23</v>
      </c>
      <c r="D171" s="15" t="s">
        <v>24</v>
      </c>
      <c r="E171" s="15">
        <v>1</v>
      </c>
      <c r="F171" s="99">
        <v>10000</v>
      </c>
      <c r="G171" s="76">
        <f t="shared" si="11"/>
        <v>10000</v>
      </c>
      <c r="H171" s="18"/>
      <c r="K171" s="113"/>
      <c r="L171" s="120"/>
      <c r="M171" s="120"/>
      <c r="N171" s="120"/>
      <c r="O171" s="120"/>
      <c r="P171" s="120"/>
      <c r="Q171" s="106"/>
    </row>
    <row r="172" spans="1:17">
      <c r="B172" s="16">
        <v>6</v>
      </c>
      <c r="C172" s="100" t="s">
        <v>112</v>
      </c>
      <c r="D172" s="15" t="s">
        <v>24</v>
      </c>
      <c r="E172" s="20">
        <v>0</v>
      </c>
      <c r="F172" s="102">
        <v>40000</v>
      </c>
      <c r="G172" s="76">
        <f t="shared" si="11"/>
        <v>0</v>
      </c>
      <c r="H172" s="104"/>
      <c r="K172" s="121"/>
      <c r="L172" s="108"/>
      <c r="M172" s="108"/>
      <c r="N172" s="108"/>
      <c r="O172" s="108"/>
      <c r="P172" s="108"/>
      <c r="Q172" s="106"/>
    </row>
    <row r="173" spans="1:17" ht="70">
      <c r="B173" s="16">
        <v>7</v>
      </c>
      <c r="C173" s="100" t="s">
        <v>125</v>
      </c>
      <c r="D173" s="15" t="s">
        <v>24</v>
      </c>
      <c r="E173" s="20">
        <v>1</v>
      </c>
      <c r="F173" s="107">
        <v>80000</v>
      </c>
      <c r="G173" s="76">
        <f t="shared" si="11"/>
        <v>80000</v>
      </c>
      <c r="H173" s="104"/>
      <c r="K173" s="145" t="s">
        <v>131</v>
      </c>
      <c r="L173" s="146"/>
      <c r="M173" s="146"/>
      <c r="N173" s="146"/>
      <c r="O173" s="146"/>
      <c r="P173" s="146"/>
      <c r="Q173" s="147"/>
    </row>
    <row r="174" spans="1:17" ht="70">
      <c r="B174" s="16">
        <v>8</v>
      </c>
      <c r="C174" s="21" t="s">
        <v>128</v>
      </c>
      <c r="D174" s="25" t="s">
        <v>15</v>
      </c>
      <c r="E174" s="118">
        <v>1</v>
      </c>
      <c r="F174" s="88">
        <v>52000</v>
      </c>
      <c r="G174" s="76">
        <f t="shared" si="11"/>
        <v>52000</v>
      </c>
      <c r="H174" s="104"/>
      <c r="K174" s="121"/>
      <c r="L174" s="108"/>
      <c r="M174" s="108"/>
      <c r="N174" s="108"/>
      <c r="O174" s="108"/>
      <c r="P174" s="108"/>
      <c r="Q174" s="106"/>
    </row>
    <row r="175" spans="1:17">
      <c r="B175" s="16">
        <v>9</v>
      </c>
      <c r="C175" s="22" t="s">
        <v>31</v>
      </c>
      <c r="D175" s="15" t="s">
        <v>18</v>
      </c>
      <c r="E175" s="15">
        <v>1</v>
      </c>
      <c r="F175" s="17">
        <f>3*5*4000</f>
        <v>60000</v>
      </c>
      <c r="G175" s="76">
        <f t="shared" si="11"/>
        <v>60000</v>
      </c>
      <c r="H175" s="18"/>
      <c r="K175" s="75"/>
      <c r="L175" s="106"/>
      <c r="M175" s="106"/>
      <c r="N175" s="106"/>
      <c r="O175" s="106"/>
      <c r="P175" s="106"/>
      <c r="Q175" s="106"/>
    </row>
    <row r="176" spans="1:17" ht="59" customHeight="1">
      <c r="B176" s="16">
        <v>10</v>
      </c>
      <c r="C176" s="21" t="s">
        <v>109</v>
      </c>
      <c r="D176" s="15" t="s">
        <v>24</v>
      </c>
      <c r="E176" s="116">
        <v>1</v>
      </c>
      <c r="F176" s="17">
        <v>200000</v>
      </c>
      <c r="G176" s="76">
        <f t="shared" si="11"/>
        <v>200000</v>
      </c>
      <c r="H176" s="18"/>
      <c r="K176" s="75"/>
    </row>
    <row r="177" spans="1:11">
      <c r="B177" s="16">
        <v>11</v>
      </c>
      <c r="C177" s="22" t="s">
        <v>14</v>
      </c>
      <c r="D177" s="15" t="s">
        <v>15</v>
      </c>
      <c r="E177" s="15">
        <v>1</v>
      </c>
      <c r="F177" s="17">
        <v>20000</v>
      </c>
      <c r="G177" s="76">
        <f t="shared" si="11"/>
        <v>20000</v>
      </c>
      <c r="H177" s="18"/>
      <c r="I177" s="148" t="s">
        <v>80</v>
      </c>
    </row>
    <row r="178" spans="1:11">
      <c r="B178" s="16">
        <v>12</v>
      </c>
      <c r="C178" s="67" t="s">
        <v>27</v>
      </c>
      <c r="D178" s="68" t="s">
        <v>24</v>
      </c>
      <c r="E178" s="117">
        <v>0</v>
      </c>
      <c r="F178" s="46">
        <v>60000</v>
      </c>
      <c r="G178" s="76">
        <f t="shared" si="11"/>
        <v>0</v>
      </c>
      <c r="H178" s="26"/>
      <c r="I178" s="149"/>
    </row>
    <row r="179" spans="1:11">
      <c r="A179" s="96"/>
      <c r="B179" s="16">
        <v>13</v>
      </c>
      <c r="C179" s="101" t="s">
        <v>30</v>
      </c>
      <c r="D179" s="25" t="s">
        <v>24</v>
      </c>
      <c r="E179" s="118">
        <v>0</v>
      </c>
      <c r="F179" s="88"/>
      <c r="G179" s="76">
        <f t="shared" si="11"/>
        <v>0</v>
      </c>
      <c r="H179" s="18"/>
      <c r="I179" s="149"/>
      <c r="K179" s="75"/>
    </row>
    <row r="180" spans="1:11">
      <c r="A180" s="39"/>
      <c r="B180" s="16">
        <v>14</v>
      </c>
      <c r="C180" s="21" t="s">
        <v>104</v>
      </c>
      <c r="D180" s="25" t="s">
        <v>15</v>
      </c>
      <c r="E180" s="118">
        <v>0</v>
      </c>
      <c r="F180" s="88"/>
      <c r="G180" s="76">
        <f t="shared" si="11"/>
        <v>0</v>
      </c>
      <c r="H180" s="18"/>
      <c r="I180" s="150"/>
      <c r="K180" s="75"/>
    </row>
    <row r="181" spans="1:11">
      <c r="A181" s="96"/>
      <c r="B181" s="35"/>
      <c r="C181" s="96"/>
      <c r="D181" s="27"/>
      <c r="E181" s="27"/>
      <c r="F181" s="96"/>
      <c r="G181" s="18"/>
    </row>
    <row r="182" spans="1:11">
      <c r="A182" s="96"/>
      <c r="B182" s="35"/>
      <c r="C182" s="96"/>
      <c r="D182" s="27"/>
      <c r="E182" s="27"/>
      <c r="F182" s="96"/>
      <c r="G182" s="18">
        <f>SUM(G167:G180)</f>
        <v>449000</v>
      </c>
      <c r="H182" s="18"/>
      <c r="I182" s="40">
        <f>G182/'Расчет взносов'!J5</f>
        <v>386.74223500835501</v>
      </c>
    </row>
    <row r="183" spans="1:11">
      <c r="A183" s="96"/>
      <c r="B183" s="35"/>
    </row>
    <row r="184" spans="1:11">
      <c r="A184" s="28"/>
      <c r="B184" s="35"/>
    </row>
    <row r="185" spans="1:11">
      <c r="A185" s="39"/>
      <c r="B185" s="16">
        <v>1</v>
      </c>
      <c r="C185" s="30" t="s">
        <v>116</v>
      </c>
      <c r="D185" s="15"/>
      <c r="E185" s="15"/>
      <c r="F185" s="16"/>
      <c r="G185" s="17">
        <v>3000</v>
      </c>
      <c r="K185" s="75"/>
    </row>
    <row r="186" spans="1:11">
      <c r="A186" s="39"/>
      <c r="B186" s="16">
        <v>2</v>
      </c>
      <c r="C186" s="30" t="s">
        <v>130</v>
      </c>
      <c r="D186" s="15"/>
      <c r="E186" s="15"/>
      <c r="F186" s="16"/>
      <c r="G186" s="17">
        <v>3000</v>
      </c>
      <c r="K186" s="75"/>
    </row>
    <row r="187" spans="1:11" ht="23">
      <c r="A187" s="69"/>
      <c r="B187" s="16">
        <v>3</v>
      </c>
      <c r="C187" s="30" t="s">
        <v>25</v>
      </c>
      <c r="D187" s="15"/>
      <c r="E187" s="15"/>
      <c r="F187" s="16"/>
      <c r="G187" s="17">
        <v>3000</v>
      </c>
      <c r="J187" s="69"/>
      <c r="K187" s="75"/>
    </row>
    <row r="188" spans="1:11">
      <c r="A188" s="35"/>
      <c r="B188" s="16">
        <v>4</v>
      </c>
      <c r="C188" s="30" t="s">
        <v>26</v>
      </c>
      <c r="D188" s="15" t="s">
        <v>41</v>
      </c>
      <c r="E188" s="15"/>
      <c r="F188" s="16"/>
      <c r="G188" s="17"/>
      <c r="K188" s="75"/>
    </row>
    <row r="189" spans="1:11">
      <c r="B189" s="31"/>
      <c r="D189" s="3"/>
      <c r="E189" s="3"/>
      <c r="G189" s="18"/>
    </row>
    <row r="190" spans="1:11">
      <c r="D190" s="3"/>
      <c r="E190" s="3"/>
      <c r="G190" s="18"/>
    </row>
    <row r="191" spans="1:11">
      <c r="D191" s="3"/>
      <c r="E191" s="3"/>
      <c r="G191" s="47" t="s">
        <v>83</v>
      </c>
      <c r="H191" s="18"/>
      <c r="I191" s="76">
        <f>I162+I182</f>
        <v>1339.8475425933266</v>
      </c>
    </row>
    <row r="192" spans="1:11">
      <c r="D192" s="3"/>
      <c r="E192" s="3"/>
      <c r="G192" s="18"/>
    </row>
    <row r="193" spans="1:10" ht="15" thickBot="1">
      <c r="A193" s="33"/>
      <c r="B193" s="33"/>
      <c r="C193" s="33"/>
      <c r="D193" s="34"/>
      <c r="E193" s="34"/>
      <c r="F193" s="33"/>
      <c r="G193" s="77"/>
      <c r="H193" s="32"/>
      <c r="I193" s="34"/>
      <c r="J193" s="32"/>
    </row>
  </sheetData>
  <mergeCells count="22">
    <mergeCell ref="K173:Q173"/>
    <mergeCell ref="I177:I180"/>
    <mergeCell ref="K156:O156"/>
    <mergeCell ref="I29:I31"/>
    <mergeCell ref="I96:I98"/>
    <mergeCell ref="I158:I160"/>
    <mergeCell ref="K169:Q169"/>
    <mergeCell ref="K40:Q40"/>
    <mergeCell ref="I48:I51"/>
    <mergeCell ref="K44:Q44"/>
    <mergeCell ref="I136:I139"/>
    <mergeCell ref="I74:I77"/>
    <mergeCell ref="I84:I88"/>
    <mergeCell ref="K94:O94"/>
    <mergeCell ref="K106:Q106"/>
    <mergeCell ref="I146:I150"/>
    <mergeCell ref="K154:O154"/>
    <mergeCell ref="I7:I10"/>
    <mergeCell ref="I17:I21"/>
    <mergeCell ref="K25:O25"/>
    <mergeCell ref="K110:Q110"/>
    <mergeCell ref="I114:I117"/>
  </mergeCells>
  <phoneticPr fontId="10" type="noConversion"/>
  <pageMargins left="0.75000000000000011" right="0.75000000000000011" top="1" bottom="1" header="0.5" footer="0.5"/>
  <pageSetup paperSize="9" scale="40" orientation="landscape" horizontalDpi="4294967292" verticalDpi="4294967292"/>
  <rowBreaks count="2" manualBreakCount="2">
    <brk id="66" max="16383" man="1"/>
    <brk id="119" max="16383" man="1"/>
  </rowBreaks>
  <colBreaks count="1" manualBreakCount="1">
    <brk id="18" max="1048575" man="1"/>
  </col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59999389629810485"/>
  </sheetPr>
  <dimension ref="A3:AC91"/>
  <sheetViews>
    <sheetView workbookViewId="0">
      <selection activeCell="R52" sqref="R52:R55"/>
    </sheetView>
  </sheetViews>
  <sheetFormatPr baseColWidth="10" defaultColWidth="10.83203125" defaultRowHeight="14" x14ac:dyDescent="0"/>
  <cols>
    <col min="1" max="1" width="6.5" style="48" customWidth="1"/>
    <col min="2" max="2" width="20.1640625" style="3" customWidth="1"/>
    <col min="3" max="3" width="3" style="3" customWidth="1"/>
    <col min="4" max="4" width="13.33203125" style="3" customWidth="1"/>
    <col min="5" max="5" width="3.83203125" style="3" customWidth="1"/>
    <col min="6" max="6" width="13.33203125" style="3" customWidth="1"/>
    <col min="7" max="7" width="3.83203125" style="3" customWidth="1"/>
    <col min="8" max="8" width="13.33203125" style="3" customWidth="1"/>
    <col min="9" max="9" width="3.83203125" style="3" customWidth="1"/>
    <col min="10" max="10" width="13.33203125" style="3" customWidth="1"/>
    <col min="11" max="11" width="9.83203125" style="3" customWidth="1"/>
    <col min="12" max="12" width="13.33203125" style="3" customWidth="1"/>
    <col min="13" max="13" width="3.83203125" style="3" customWidth="1"/>
    <col min="14" max="14" width="13.33203125" style="3" customWidth="1"/>
    <col min="15" max="15" width="3.83203125" style="3" customWidth="1"/>
    <col min="16" max="16" width="13.33203125" style="3" customWidth="1"/>
    <col min="17" max="17" width="3.83203125" style="3" customWidth="1"/>
    <col min="18" max="18" width="13.33203125" style="3" customWidth="1"/>
    <col min="19" max="19" width="2.83203125" style="3" customWidth="1"/>
    <col min="20" max="20" width="13.33203125" style="3" customWidth="1"/>
    <col min="21" max="21" width="15.6640625" style="3" customWidth="1"/>
    <col min="22" max="22" width="2.83203125" style="3" customWidth="1"/>
    <col min="23" max="23" width="5.1640625" style="3" customWidth="1"/>
    <col min="24" max="24" width="1.6640625" style="3" customWidth="1"/>
    <col min="25" max="25" width="11" style="3" bestFit="1" customWidth="1"/>
    <col min="26" max="26" width="2.33203125" style="3" customWidth="1"/>
    <col min="27" max="27" width="10.83203125" style="3"/>
    <col min="28" max="28" width="3.5" style="3" customWidth="1"/>
    <col min="29" max="83" width="10.83203125" style="3"/>
    <col min="84" max="84" width="0.33203125" style="3" customWidth="1"/>
    <col min="85" max="86" width="10.83203125" style="3"/>
    <col min="87" max="87" width="10.83203125" style="3" customWidth="1"/>
    <col min="88" max="88" width="15.33203125" style="3" customWidth="1"/>
    <col min="89" max="89" width="17.1640625" style="3" customWidth="1"/>
    <col min="90" max="16384" width="10.83203125" style="3"/>
  </cols>
  <sheetData>
    <row r="3" spans="1:29" ht="28">
      <c r="B3" s="5"/>
      <c r="C3" s="5"/>
      <c r="F3" s="3" t="s">
        <v>32</v>
      </c>
      <c r="H3" s="3" t="s">
        <v>33</v>
      </c>
      <c r="J3" s="3" t="s">
        <v>83</v>
      </c>
      <c r="L3" s="3" t="s">
        <v>32</v>
      </c>
      <c r="N3" s="3" t="s">
        <v>33</v>
      </c>
      <c r="P3" s="3" t="s">
        <v>83</v>
      </c>
      <c r="Y3" s="3" t="s">
        <v>139</v>
      </c>
      <c r="AA3" s="14" t="s">
        <v>140</v>
      </c>
      <c r="AC3" s="5" t="s">
        <v>142</v>
      </c>
    </row>
    <row r="4" spans="1:29">
      <c r="B4" s="6" t="s">
        <v>0</v>
      </c>
      <c r="C4" s="5"/>
      <c r="F4" s="19">
        <v>1028.6600000000001</v>
      </c>
      <c r="G4" s="7"/>
      <c r="H4" s="16">
        <v>1709.51</v>
      </c>
      <c r="J4" s="16">
        <f>F4+H4</f>
        <v>2738.17</v>
      </c>
      <c r="L4" s="19">
        <v>67</v>
      </c>
      <c r="M4" s="9"/>
      <c r="N4" s="16">
        <v>12</v>
      </c>
      <c r="P4" s="16">
        <v>77</v>
      </c>
      <c r="R4" s="6" t="s">
        <v>1</v>
      </c>
      <c r="U4" s="46">
        <f>341.88+8.41</f>
        <v>350.29</v>
      </c>
      <c r="W4" s="137" t="s">
        <v>106</v>
      </c>
      <c r="X4" s="50"/>
      <c r="Y4" s="130">
        <f>U4*'Смета 2019-20'!I33</f>
        <v>752066.86800738343</v>
      </c>
      <c r="AA4" s="136">
        <f>Y10-'Смета 2019-20'!G33</f>
        <v>648.06088265776634</v>
      </c>
      <c r="AC4" s="139">
        <f>1.31</f>
        <v>1.31</v>
      </c>
    </row>
    <row r="5" spans="1:29">
      <c r="B5" s="6" t="s">
        <v>143</v>
      </c>
      <c r="C5" s="5"/>
      <c r="F5" s="88">
        <f>U7+U4+U5+U6</f>
        <v>990.71</v>
      </c>
      <c r="G5" s="7"/>
      <c r="H5" s="16">
        <f>U8</f>
        <v>170.27</v>
      </c>
      <c r="J5" s="17">
        <f>F5+H5</f>
        <v>1160.98</v>
      </c>
      <c r="L5" s="19">
        <v>28</v>
      </c>
      <c r="M5" s="10"/>
      <c r="N5" s="16">
        <v>0</v>
      </c>
      <c r="P5" s="16">
        <f>L5+N5</f>
        <v>28</v>
      </c>
      <c r="R5" s="6" t="s">
        <v>42</v>
      </c>
      <c r="U5" s="17">
        <v>177.31</v>
      </c>
      <c r="W5" s="106" t="s">
        <v>138</v>
      </c>
      <c r="X5" s="50"/>
      <c r="Y5" s="130">
        <f>40515.38+47179.88+38265.37+4031.85+46446.96+43583.44+37975.71+36663.27+36475.78</f>
        <v>331137.64</v>
      </c>
      <c r="AC5" s="104"/>
    </row>
    <row r="6" spans="1:29">
      <c r="B6" s="6" t="s">
        <v>35</v>
      </c>
      <c r="C6" s="5"/>
      <c r="F6" s="19">
        <v>83</v>
      </c>
      <c r="G6" s="8"/>
      <c r="H6" s="16">
        <v>152</v>
      </c>
      <c r="J6" s="16">
        <f>F6+H6</f>
        <v>235</v>
      </c>
      <c r="L6" s="19">
        <v>35</v>
      </c>
      <c r="M6" s="10"/>
      <c r="N6" s="16">
        <v>14</v>
      </c>
      <c r="P6" s="45">
        <f>L6+N6</f>
        <v>49</v>
      </c>
      <c r="R6" s="6" t="s">
        <v>49</v>
      </c>
      <c r="U6" s="17">
        <v>87.49</v>
      </c>
      <c r="W6" s="106" t="s">
        <v>48</v>
      </c>
      <c r="X6" s="50"/>
      <c r="Y6" s="130">
        <f>57206.46+53706.96+58612.65</f>
        <v>169526.07</v>
      </c>
      <c r="AC6" s="138"/>
    </row>
    <row r="7" spans="1:29">
      <c r="B7" s="6" t="s">
        <v>34</v>
      </c>
      <c r="C7" s="5"/>
      <c r="F7" s="19">
        <v>78</v>
      </c>
      <c r="G7" s="9"/>
      <c r="H7" s="16">
        <v>10</v>
      </c>
      <c r="J7" s="16">
        <f>F7+H7</f>
        <v>88</v>
      </c>
      <c r="L7" s="19">
        <v>13</v>
      </c>
      <c r="M7" s="10"/>
      <c r="N7" s="16">
        <v>0</v>
      </c>
      <c r="P7" s="16">
        <f>L7+N7</f>
        <v>13</v>
      </c>
      <c r="R7" s="6" t="s">
        <v>47</v>
      </c>
      <c r="U7" s="17">
        <f>384.03-8.41</f>
        <v>375.61999999999995</v>
      </c>
      <c r="W7" s="137" t="s">
        <v>50</v>
      </c>
      <c r="X7" s="50"/>
      <c r="Y7" s="130">
        <f>U7*'Смета 2019-20'!I100</f>
        <v>488384.12215278117</v>
      </c>
      <c r="AC7" s="106"/>
    </row>
    <row r="8" spans="1:29">
      <c r="B8" s="6" t="s">
        <v>137</v>
      </c>
      <c r="C8" s="5"/>
      <c r="F8" s="19">
        <v>1</v>
      </c>
      <c r="G8" s="10"/>
      <c r="H8" s="44" t="str">
        <f>IF((D73=0), "0", "1")</f>
        <v>0</v>
      </c>
      <c r="J8" s="16">
        <v>12.24</v>
      </c>
      <c r="L8" s="19">
        <v>6</v>
      </c>
      <c r="M8" s="10"/>
      <c r="N8" s="44" t="str">
        <f>IF((D65=0), "0", "1")</f>
        <v>0</v>
      </c>
      <c r="P8" s="16">
        <f>L8+N8</f>
        <v>6</v>
      </c>
      <c r="R8" s="6" t="s">
        <v>48</v>
      </c>
      <c r="U8" s="126">
        <v>170.27</v>
      </c>
      <c r="W8" s="137" t="s">
        <v>141</v>
      </c>
      <c r="X8" s="50"/>
      <c r="Y8" s="130">
        <f>U8*'Смета 2019-20'!I162</f>
        <v>162285.24072249309</v>
      </c>
      <c r="AC8" s="106"/>
    </row>
    <row r="9" spans="1:29">
      <c r="B9" s="49"/>
      <c r="C9" s="14"/>
      <c r="D9" s="49"/>
      <c r="E9" s="49"/>
      <c r="F9" s="49"/>
      <c r="G9" s="49"/>
      <c r="H9" s="49"/>
      <c r="I9" s="49"/>
      <c r="J9" s="49"/>
      <c r="K9" s="49"/>
      <c r="Q9" s="49"/>
      <c r="U9" s="24"/>
      <c r="AC9" s="106"/>
    </row>
    <row r="10" spans="1:29">
      <c r="B10" s="50"/>
      <c r="C10" s="5"/>
      <c r="D10" s="50"/>
      <c r="E10" s="50"/>
      <c r="F10" s="50"/>
      <c r="G10" s="50"/>
      <c r="H10" s="50"/>
      <c r="I10" s="50"/>
      <c r="J10" s="50"/>
      <c r="K10" s="50"/>
      <c r="L10" s="50"/>
      <c r="M10" s="51"/>
      <c r="N10" s="50"/>
      <c r="O10" s="50"/>
      <c r="P10" s="50"/>
      <c r="Q10" s="50"/>
      <c r="R10" s="50"/>
      <c r="S10" s="50"/>
      <c r="T10" s="50"/>
      <c r="U10" s="50"/>
      <c r="W10" s="132"/>
      <c r="Y10" s="24">
        <f>SUM(Y4:Y9)</f>
        <v>1903399.9408826577</v>
      </c>
      <c r="AC10" s="106"/>
    </row>
    <row r="11" spans="1:29" ht="20">
      <c r="B11" s="81" t="s">
        <v>62</v>
      </c>
      <c r="C11" s="54"/>
      <c r="D11" s="53"/>
      <c r="E11" s="53"/>
      <c r="F11" s="50"/>
      <c r="G11" s="50"/>
      <c r="H11" s="50"/>
      <c r="I11" s="50"/>
      <c r="J11" s="50"/>
      <c r="K11" s="50"/>
      <c r="L11" s="50"/>
      <c r="M11" s="51"/>
      <c r="N11" s="50"/>
      <c r="O11" s="50"/>
      <c r="P11" s="50"/>
      <c r="Q11" s="50"/>
      <c r="R11" s="50"/>
      <c r="S11" s="50"/>
      <c r="T11" s="50"/>
      <c r="U11" s="50"/>
      <c r="Y11" s="24">
        <f>Y10/12</f>
        <v>158616.66174022146</v>
      </c>
    </row>
    <row r="12" spans="1:29">
      <c r="C12" s="5"/>
      <c r="D12" s="50"/>
      <c r="E12" s="50"/>
      <c r="F12" s="50"/>
      <c r="G12" s="50"/>
      <c r="H12" s="50"/>
      <c r="I12" s="50"/>
      <c r="J12" s="50"/>
      <c r="K12" s="50"/>
      <c r="L12" s="50"/>
      <c r="M12" s="51"/>
      <c r="N12" s="50"/>
      <c r="O12" s="50"/>
      <c r="P12" s="50"/>
      <c r="Q12" s="50"/>
      <c r="R12" s="50"/>
      <c r="S12" s="50"/>
      <c r="T12" s="50"/>
      <c r="U12" s="50"/>
    </row>
    <row r="13" spans="1:29">
      <c r="A13" s="48" t="s">
        <v>59</v>
      </c>
      <c r="B13" s="50" t="s">
        <v>90</v>
      </c>
      <c r="C13" s="5"/>
      <c r="D13" s="50"/>
      <c r="E13" s="50"/>
      <c r="F13" s="50"/>
      <c r="G13" s="50"/>
      <c r="H13" s="50"/>
      <c r="I13" s="50"/>
      <c r="J13" s="50"/>
      <c r="K13" s="50"/>
      <c r="L13" s="50"/>
      <c r="M13" s="51"/>
      <c r="N13" s="50"/>
      <c r="O13" s="50"/>
      <c r="P13" s="50"/>
      <c r="Q13" s="50"/>
      <c r="R13" s="50"/>
      <c r="S13" s="50"/>
      <c r="T13" s="50"/>
      <c r="U13" s="50"/>
    </row>
    <row r="14" spans="1:29">
      <c r="B14" s="50"/>
      <c r="C14" s="36" t="s">
        <v>91</v>
      </c>
      <c r="D14" s="50"/>
      <c r="E14" s="50"/>
      <c r="F14" s="50"/>
      <c r="G14" s="50"/>
      <c r="H14" s="50"/>
      <c r="I14" s="50"/>
      <c r="J14" s="50"/>
      <c r="K14" s="50"/>
      <c r="L14" s="50"/>
      <c r="M14" s="51"/>
      <c r="N14" s="50"/>
      <c r="O14" s="50"/>
      <c r="P14" s="50"/>
      <c r="Q14" s="50"/>
      <c r="R14" s="50"/>
      <c r="S14" s="50"/>
      <c r="T14" s="50"/>
    </row>
    <row r="15" spans="1:29">
      <c r="B15" s="50"/>
      <c r="C15" s="36" t="s">
        <v>65</v>
      </c>
      <c r="D15" s="50"/>
      <c r="E15" s="50"/>
      <c r="F15" s="50"/>
      <c r="G15" s="50"/>
      <c r="H15" s="50"/>
      <c r="I15" s="50"/>
      <c r="J15" s="50"/>
      <c r="K15" s="50"/>
      <c r="L15" s="50"/>
      <c r="M15" s="51"/>
      <c r="N15" s="50"/>
      <c r="O15" s="50"/>
      <c r="P15" s="50"/>
      <c r="Q15" s="50"/>
      <c r="R15" s="50"/>
      <c r="S15" s="50"/>
      <c r="T15" s="50"/>
      <c r="U15" s="50"/>
      <c r="X15" s="24"/>
    </row>
    <row r="16" spans="1:29">
      <c r="B16" s="50"/>
      <c r="C16" s="36" t="s">
        <v>86</v>
      </c>
      <c r="F16" s="50"/>
      <c r="G16" s="50"/>
      <c r="H16" s="50"/>
      <c r="I16" s="50"/>
      <c r="J16" s="50"/>
      <c r="K16" s="50"/>
      <c r="L16" s="50"/>
      <c r="M16" s="51"/>
      <c r="N16" s="50"/>
      <c r="O16" s="50"/>
      <c r="P16" s="50"/>
      <c r="Q16" s="50"/>
      <c r="R16" s="50"/>
      <c r="S16" s="50"/>
      <c r="T16" s="50"/>
      <c r="U16" s="50"/>
      <c r="W16" s="50"/>
    </row>
    <row r="17" spans="1:23">
      <c r="B17" s="50"/>
      <c r="C17" s="36" t="s">
        <v>63</v>
      </c>
      <c r="D17" s="50"/>
      <c r="E17" s="50"/>
      <c r="F17" s="50"/>
      <c r="G17" s="50"/>
      <c r="H17" s="50"/>
      <c r="I17" s="50"/>
      <c r="J17" s="50"/>
      <c r="K17" s="50"/>
      <c r="L17" s="50"/>
      <c r="M17" s="51"/>
      <c r="N17" s="50"/>
      <c r="O17" s="50"/>
      <c r="P17" s="50"/>
      <c r="Q17" s="50"/>
      <c r="R17" s="50"/>
      <c r="S17" s="50"/>
      <c r="T17" s="50"/>
      <c r="W17" s="131"/>
    </row>
    <row r="18" spans="1:23">
      <c r="B18" s="50"/>
      <c r="C18" s="6" t="s">
        <v>64</v>
      </c>
      <c r="D18" s="50"/>
      <c r="E18" s="50"/>
      <c r="F18" s="50"/>
      <c r="G18" s="50"/>
      <c r="H18" s="50"/>
      <c r="I18" s="50"/>
      <c r="J18" s="50"/>
      <c r="K18" s="50"/>
      <c r="L18" s="50"/>
      <c r="M18" s="51"/>
      <c r="N18" s="50"/>
      <c r="O18" s="50"/>
      <c r="P18" s="50"/>
      <c r="Q18" s="50"/>
      <c r="R18" s="50"/>
      <c r="S18" s="50"/>
      <c r="T18" s="50"/>
      <c r="U18" s="50"/>
      <c r="W18" s="50"/>
    </row>
    <row r="19" spans="1:23">
      <c r="B19" s="50"/>
      <c r="C19" s="6"/>
      <c r="D19" s="50"/>
      <c r="E19" s="50"/>
      <c r="F19" s="50"/>
      <c r="G19" s="50"/>
      <c r="H19" s="50"/>
      <c r="I19" s="50"/>
      <c r="J19" s="50"/>
      <c r="K19" s="50"/>
      <c r="L19" s="50"/>
      <c r="M19" s="51"/>
      <c r="N19" s="50"/>
      <c r="O19" s="50"/>
      <c r="P19" s="50"/>
      <c r="Q19" s="50"/>
      <c r="R19" s="50"/>
      <c r="S19" s="50"/>
      <c r="T19" s="50"/>
      <c r="U19" s="50"/>
      <c r="W19" s="50"/>
    </row>
    <row r="20" spans="1:23" ht="20">
      <c r="B20" s="81" t="s">
        <v>58</v>
      </c>
      <c r="C20" s="5"/>
      <c r="D20" s="50"/>
      <c r="E20" s="50"/>
      <c r="F20" s="50"/>
      <c r="G20" s="50"/>
      <c r="H20" s="50"/>
      <c r="I20" s="50"/>
      <c r="J20" s="50"/>
      <c r="K20" s="50"/>
      <c r="L20" s="50"/>
      <c r="M20" s="51"/>
      <c r="N20" s="50"/>
      <c r="O20" s="50"/>
      <c r="P20" s="50"/>
      <c r="Q20" s="50"/>
      <c r="R20" s="50"/>
      <c r="S20" s="50"/>
      <c r="T20" s="50"/>
      <c r="U20" s="50"/>
      <c r="W20" s="50"/>
    </row>
    <row r="21" spans="1:23">
      <c r="A21" s="48" t="s">
        <v>60</v>
      </c>
      <c r="B21" s="50" t="s">
        <v>61</v>
      </c>
      <c r="C21" s="5"/>
      <c r="D21" s="50"/>
      <c r="E21" s="50"/>
      <c r="F21" s="50"/>
      <c r="G21" s="50"/>
      <c r="H21" s="50"/>
      <c r="I21" s="50"/>
      <c r="J21" s="50"/>
      <c r="K21" s="50"/>
      <c r="L21" s="50"/>
      <c r="M21" s="51"/>
      <c r="N21" s="50"/>
      <c r="O21" s="50"/>
      <c r="P21" s="50"/>
      <c r="Q21" s="50"/>
      <c r="R21" s="50"/>
      <c r="S21" s="50"/>
      <c r="T21" s="50"/>
      <c r="W21" s="50"/>
    </row>
    <row r="22" spans="1:23">
      <c r="B22" s="50" t="s">
        <v>57</v>
      </c>
      <c r="C22" s="5"/>
      <c r="D22" s="50"/>
      <c r="E22" s="50"/>
      <c r="F22" s="50"/>
      <c r="G22" s="50"/>
      <c r="H22" s="50"/>
      <c r="I22" s="50"/>
      <c r="J22" s="50"/>
      <c r="K22" s="50"/>
      <c r="L22" s="50"/>
      <c r="M22" s="51"/>
      <c r="N22" s="50"/>
      <c r="O22" s="50"/>
      <c r="P22" s="50"/>
      <c r="Q22" s="50"/>
      <c r="R22" s="50"/>
      <c r="S22" s="50"/>
      <c r="T22" s="50"/>
      <c r="U22" s="50"/>
      <c r="V22" s="50"/>
      <c r="W22" s="50"/>
    </row>
    <row r="23" spans="1:23">
      <c r="C23" s="3" t="s">
        <v>92</v>
      </c>
      <c r="D23" s="50"/>
      <c r="E23" s="50"/>
      <c r="F23" s="50"/>
      <c r="G23" s="50"/>
      <c r="H23" s="50"/>
      <c r="I23" s="50"/>
      <c r="J23" s="50"/>
      <c r="K23" s="50"/>
      <c r="L23" s="50"/>
      <c r="M23" s="51"/>
      <c r="N23" s="50"/>
      <c r="O23" s="50"/>
      <c r="P23" s="50"/>
      <c r="Q23" s="50"/>
      <c r="R23" s="50"/>
      <c r="S23" s="50"/>
      <c r="T23" s="50"/>
      <c r="U23" s="50"/>
      <c r="V23" s="50"/>
      <c r="W23" s="50"/>
    </row>
    <row r="24" spans="1:23">
      <c r="C24" s="6" t="s">
        <v>93</v>
      </c>
      <c r="D24" s="50"/>
      <c r="E24" s="50"/>
      <c r="F24" s="50"/>
      <c r="G24" s="50"/>
      <c r="H24" s="50"/>
      <c r="I24" s="50"/>
      <c r="J24" s="50"/>
      <c r="K24" s="50"/>
      <c r="L24" s="50"/>
      <c r="M24" s="51"/>
      <c r="N24" s="50"/>
      <c r="O24" s="50"/>
      <c r="P24" s="50"/>
      <c r="Q24" s="50"/>
      <c r="R24" s="50"/>
      <c r="S24" s="50"/>
      <c r="T24" s="50"/>
      <c r="U24" s="50"/>
      <c r="V24" s="50"/>
      <c r="W24" s="50"/>
    </row>
    <row r="25" spans="1:23">
      <c r="C25" s="6" t="s">
        <v>94</v>
      </c>
      <c r="D25" s="50"/>
      <c r="E25" s="50"/>
      <c r="F25" s="50"/>
      <c r="G25" s="50"/>
      <c r="H25" s="50"/>
      <c r="I25" s="50"/>
      <c r="J25" s="50"/>
      <c r="K25" s="50"/>
      <c r="L25" s="50"/>
      <c r="M25" s="51"/>
      <c r="N25" s="50"/>
      <c r="O25" s="50"/>
      <c r="P25" s="50"/>
      <c r="Q25" s="50"/>
      <c r="R25" s="50"/>
      <c r="S25" s="50"/>
      <c r="T25" s="50"/>
      <c r="U25" s="50"/>
      <c r="V25" s="50"/>
      <c r="W25" s="50"/>
    </row>
    <row r="26" spans="1:23">
      <c r="B26" s="3" t="s">
        <v>68</v>
      </c>
      <c r="C26" s="6"/>
      <c r="D26" s="50"/>
      <c r="E26" s="50"/>
      <c r="F26" s="50"/>
      <c r="G26" s="50"/>
      <c r="H26" s="50"/>
      <c r="I26" s="50"/>
      <c r="J26" s="50"/>
      <c r="K26" s="50"/>
      <c r="L26" s="50"/>
      <c r="M26" s="51"/>
      <c r="N26" s="50"/>
      <c r="O26" s="50"/>
      <c r="P26" s="50"/>
      <c r="Q26" s="50"/>
      <c r="R26" s="50"/>
      <c r="S26" s="50"/>
      <c r="T26" s="50"/>
      <c r="U26" s="50"/>
      <c r="V26" s="50"/>
      <c r="W26" s="50"/>
    </row>
    <row r="27" spans="1:23" ht="21" customHeight="1">
      <c r="B27" s="64" t="s">
        <v>87</v>
      </c>
      <c r="C27" s="6"/>
      <c r="D27" s="50"/>
      <c r="E27" s="50"/>
      <c r="F27" s="50"/>
      <c r="G27" s="50"/>
      <c r="H27" s="50"/>
      <c r="I27" s="50"/>
      <c r="J27" s="50"/>
      <c r="K27" s="50"/>
      <c r="L27" s="50"/>
      <c r="M27" s="51"/>
      <c r="N27" s="50"/>
      <c r="O27" s="50"/>
      <c r="P27" s="50"/>
      <c r="Q27" s="50"/>
      <c r="R27" s="50"/>
      <c r="S27" s="50"/>
      <c r="T27" s="50"/>
      <c r="U27" s="50"/>
      <c r="V27" s="50"/>
      <c r="W27" s="50"/>
    </row>
    <row r="28" spans="1:23">
      <c r="A28" s="48" t="s">
        <v>67</v>
      </c>
      <c r="B28" s="82" t="s">
        <v>89</v>
      </c>
      <c r="C28" s="6"/>
      <c r="D28" s="50"/>
      <c r="E28" s="50"/>
      <c r="F28" s="50"/>
      <c r="G28" s="50"/>
      <c r="H28" s="50"/>
      <c r="I28" s="50"/>
      <c r="J28" s="50"/>
      <c r="K28" s="50"/>
      <c r="L28" s="50"/>
      <c r="M28" s="51"/>
      <c r="N28" s="50"/>
      <c r="O28" s="50"/>
      <c r="P28" s="50"/>
      <c r="Q28" s="50"/>
      <c r="R28" s="50"/>
      <c r="S28" s="50"/>
      <c r="T28" s="50"/>
      <c r="U28" s="50"/>
      <c r="V28" s="50"/>
      <c r="W28" s="50"/>
    </row>
    <row r="29" spans="1:23">
      <c r="A29" s="48" t="s">
        <v>69</v>
      </c>
      <c r="B29" s="82" t="s">
        <v>88</v>
      </c>
      <c r="C29" s="6"/>
      <c r="D29" s="50"/>
      <c r="E29" s="50"/>
      <c r="F29" s="50"/>
      <c r="G29" s="50"/>
      <c r="H29" s="50"/>
      <c r="I29" s="50"/>
      <c r="J29" s="50"/>
      <c r="K29" s="50"/>
      <c r="L29" s="50"/>
      <c r="M29" s="51"/>
      <c r="N29" s="50"/>
      <c r="O29" s="50"/>
      <c r="P29" s="50"/>
      <c r="Q29" s="50"/>
      <c r="R29" s="50"/>
      <c r="S29" s="50"/>
      <c r="T29" s="50"/>
      <c r="U29" s="50"/>
      <c r="V29" s="50"/>
      <c r="W29" s="50"/>
    </row>
    <row r="30" spans="1:23" ht="20">
      <c r="B30" s="64"/>
      <c r="C30" s="6"/>
      <c r="D30" s="50"/>
      <c r="E30" s="50"/>
      <c r="F30" s="50"/>
      <c r="G30" s="50"/>
      <c r="H30" s="50"/>
      <c r="I30" s="50"/>
      <c r="J30" s="50"/>
      <c r="K30" s="50"/>
      <c r="L30" s="50"/>
      <c r="M30" s="51"/>
      <c r="N30" s="50"/>
      <c r="O30" s="50"/>
      <c r="P30" s="50"/>
      <c r="Q30" s="50"/>
      <c r="R30" s="50"/>
      <c r="S30" s="50"/>
      <c r="T30" s="50"/>
      <c r="U30" s="50"/>
      <c r="V30" s="50"/>
      <c r="W30" s="50"/>
    </row>
    <row r="31" spans="1:23" ht="21" customHeight="1">
      <c r="B31" s="64" t="s">
        <v>95</v>
      </c>
      <c r="C31" s="6"/>
      <c r="D31" s="50"/>
      <c r="E31" s="50"/>
      <c r="F31" s="50"/>
      <c r="G31" s="50"/>
      <c r="H31" s="50"/>
      <c r="I31" s="50"/>
      <c r="J31" s="50"/>
      <c r="K31" s="50"/>
      <c r="L31" s="50"/>
      <c r="M31" s="51"/>
      <c r="N31" s="50"/>
      <c r="O31" s="50"/>
      <c r="P31" s="50"/>
      <c r="Q31" s="50"/>
      <c r="R31" s="50"/>
      <c r="S31" s="50"/>
      <c r="T31" s="50"/>
      <c r="U31" s="50"/>
      <c r="V31" s="50"/>
      <c r="W31" s="50"/>
    </row>
    <row r="32" spans="1:23">
      <c r="A32" s="48" t="s">
        <v>70</v>
      </c>
      <c r="B32" s="50" t="s">
        <v>99</v>
      </c>
      <c r="C32" s="5"/>
      <c r="D32" s="50"/>
      <c r="E32" s="50"/>
      <c r="F32" s="50"/>
      <c r="G32" s="50"/>
      <c r="H32" s="50"/>
      <c r="I32" s="50"/>
      <c r="J32" s="50"/>
      <c r="K32" s="50"/>
      <c r="L32" s="50"/>
      <c r="M32" s="51"/>
      <c r="N32" s="50"/>
      <c r="O32" s="50"/>
      <c r="P32" s="50"/>
      <c r="Q32" s="50"/>
      <c r="R32" s="50"/>
      <c r="S32" s="50"/>
      <c r="T32" s="50"/>
      <c r="U32" s="50"/>
      <c r="V32" s="50"/>
      <c r="W32" s="50"/>
    </row>
    <row r="33" spans="1:23">
      <c r="A33" s="48" t="s">
        <v>71</v>
      </c>
      <c r="B33" s="50" t="s">
        <v>100</v>
      </c>
      <c r="C33" s="5"/>
      <c r="D33" s="50"/>
      <c r="E33" s="50"/>
      <c r="F33" s="50"/>
      <c r="G33" s="50"/>
      <c r="H33" s="50"/>
      <c r="I33" s="50"/>
      <c r="J33" s="50"/>
      <c r="K33" s="50"/>
      <c r="L33" s="50"/>
      <c r="M33" s="51"/>
      <c r="N33" s="50"/>
      <c r="O33" s="50"/>
      <c r="P33" s="50"/>
      <c r="Q33" s="50"/>
      <c r="R33" s="50"/>
      <c r="S33" s="50"/>
      <c r="T33" s="50"/>
      <c r="U33" s="50"/>
      <c r="V33" s="50"/>
      <c r="W33" s="50"/>
    </row>
    <row r="34" spans="1:23">
      <c r="A34" s="48" t="s">
        <v>72</v>
      </c>
      <c r="B34" s="50" t="s">
        <v>79</v>
      </c>
      <c r="C34" s="5"/>
      <c r="D34" s="6"/>
      <c r="E34" s="50"/>
      <c r="F34" s="50"/>
      <c r="G34" s="50"/>
      <c r="H34" s="50"/>
      <c r="I34" s="50"/>
      <c r="J34" s="50"/>
      <c r="K34" s="50"/>
      <c r="L34" s="50"/>
      <c r="M34" s="51"/>
      <c r="N34" s="50"/>
      <c r="O34" s="50"/>
      <c r="P34" s="50"/>
      <c r="Q34" s="50"/>
      <c r="R34" s="50"/>
      <c r="S34" s="50"/>
      <c r="T34" s="50"/>
      <c r="U34" s="50"/>
      <c r="V34" s="50"/>
      <c r="W34" s="50"/>
    </row>
    <row r="35" spans="1:23">
      <c r="A35" s="48" t="s">
        <v>96</v>
      </c>
      <c r="B35" s="50" t="s">
        <v>66</v>
      </c>
      <c r="C35" s="5"/>
      <c r="D35" s="50"/>
      <c r="E35" s="50"/>
      <c r="F35" s="50"/>
      <c r="G35" s="50"/>
      <c r="H35" s="50"/>
      <c r="I35" s="50"/>
      <c r="J35" s="50"/>
      <c r="K35" s="50"/>
      <c r="L35" s="50"/>
      <c r="M35" s="51"/>
      <c r="N35" s="50"/>
      <c r="O35" s="50"/>
      <c r="P35" s="50"/>
      <c r="Q35" s="50"/>
      <c r="R35" s="50"/>
      <c r="S35" s="50"/>
      <c r="T35" s="50"/>
      <c r="U35" s="50"/>
      <c r="V35" s="50"/>
    </row>
    <row r="36" spans="1:23">
      <c r="B36" s="50"/>
      <c r="C36" s="5"/>
      <c r="D36" s="50"/>
      <c r="E36" s="50"/>
      <c r="F36" s="50"/>
      <c r="G36" s="50"/>
      <c r="H36" s="50"/>
      <c r="I36" s="50"/>
      <c r="J36" s="50"/>
      <c r="K36" s="50"/>
      <c r="L36" s="50"/>
      <c r="M36" s="51"/>
      <c r="N36" s="50"/>
      <c r="O36" s="50"/>
      <c r="P36" s="50"/>
      <c r="Q36" s="50"/>
      <c r="R36" s="50"/>
      <c r="S36" s="50"/>
      <c r="T36" s="50"/>
      <c r="U36" s="50"/>
      <c r="V36" s="50"/>
    </row>
    <row r="37" spans="1:23" ht="20">
      <c r="B37" s="81" t="s">
        <v>21</v>
      </c>
      <c r="C37" s="5"/>
      <c r="D37" s="50"/>
      <c r="E37" s="50"/>
      <c r="F37" s="50"/>
      <c r="G37" s="50"/>
      <c r="H37" s="50"/>
      <c r="I37" s="50"/>
      <c r="J37" s="50"/>
      <c r="K37" s="50"/>
      <c r="L37" s="50"/>
      <c r="M37" s="51"/>
      <c r="N37" s="50"/>
      <c r="O37" s="50"/>
      <c r="P37" s="50"/>
      <c r="Q37" s="50"/>
      <c r="R37" s="50"/>
      <c r="S37" s="50"/>
      <c r="T37" s="50"/>
      <c r="U37" s="50"/>
      <c r="V37" s="50"/>
    </row>
    <row r="38" spans="1:23">
      <c r="A38" s="48" t="s">
        <v>97</v>
      </c>
      <c r="B38" s="50" t="s">
        <v>73</v>
      </c>
      <c r="C38" s="12"/>
      <c r="D38" s="52"/>
      <c r="E38" s="50"/>
      <c r="F38" s="50"/>
      <c r="G38" s="50"/>
      <c r="H38" s="50"/>
      <c r="I38" s="50"/>
      <c r="J38" s="50"/>
      <c r="K38" s="50"/>
      <c r="L38" s="50"/>
      <c r="M38" s="51"/>
      <c r="N38" s="50"/>
      <c r="O38" s="50"/>
      <c r="P38" s="50"/>
      <c r="Q38" s="50"/>
      <c r="R38" s="50"/>
      <c r="S38" s="50"/>
      <c r="T38" s="50"/>
      <c r="U38" s="50"/>
      <c r="V38" s="50"/>
    </row>
    <row r="39" spans="1:23">
      <c r="B39" s="50"/>
      <c r="C39" s="12"/>
      <c r="D39" s="52"/>
      <c r="E39" s="50"/>
      <c r="F39" s="50"/>
      <c r="G39" s="50"/>
      <c r="H39" s="50"/>
      <c r="I39" s="50"/>
      <c r="J39" s="50"/>
      <c r="K39" s="50"/>
      <c r="L39" s="50"/>
      <c r="M39" s="51"/>
      <c r="N39" s="50"/>
      <c r="O39" s="50"/>
      <c r="P39" s="50"/>
      <c r="Q39" s="50"/>
      <c r="R39" s="50"/>
      <c r="S39" s="50"/>
      <c r="T39" s="50"/>
      <c r="U39" s="50"/>
      <c r="V39" s="50"/>
    </row>
    <row r="40" spans="1:23">
      <c r="B40" s="50"/>
      <c r="C40" s="12"/>
      <c r="D40" s="52"/>
      <c r="E40" s="50"/>
      <c r="F40" s="50"/>
      <c r="G40" s="50"/>
      <c r="H40" s="50"/>
      <c r="I40" s="50"/>
      <c r="J40" s="50"/>
      <c r="K40" s="50"/>
      <c r="L40" s="50"/>
      <c r="M40" s="51"/>
      <c r="N40" s="50"/>
      <c r="O40" s="50"/>
      <c r="P40" s="50"/>
      <c r="Q40" s="50"/>
      <c r="R40" s="50"/>
      <c r="S40" s="50"/>
      <c r="T40" s="50"/>
      <c r="U40" s="50"/>
      <c r="V40" s="50"/>
    </row>
    <row r="41" spans="1:23">
      <c r="B41" s="50"/>
      <c r="C41" s="50"/>
      <c r="D41" s="50"/>
      <c r="E41" s="50"/>
      <c r="F41" s="50"/>
      <c r="G41" s="50"/>
      <c r="H41" s="50"/>
      <c r="I41" s="50"/>
      <c r="J41" s="50"/>
      <c r="K41" s="50"/>
      <c r="L41" s="50"/>
      <c r="M41" s="50"/>
      <c r="N41" s="50"/>
      <c r="O41" s="50"/>
      <c r="P41" s="50"/>
      <c r="Q41" s="50"/>
      <c r="R41" s="50"/>
      <c r="S41" s="50"/>
      <c r="T41" s="50"/>
      <c r="U41" s="50"/>
      <c r="V41" s="50"/>
    </row>
    <row r="42" spans="1:23" ht="21" customHeight="1">
      <c r="B42" s="50"/>
      <c r="C42" s="50"/>
      <c r="D42" s="81" t="s">
        <v>74</v>
      </c>
      <c r="E42" s="50"/>
      <c r="F42" s="50"/>
      <c r="G42" s="50"/>
      <c r="H42" s="50"/>
      <c r="I42" s="50"/>
      <c r="J42" s="50"/>
      <c r="K42" s="50"/>
      <c r="L42" s="81" t="s">
        <v>75</v>
      </c>
      <c r="M42" s="50"/>
      <c r="N42" s="50"/>
      <c r="O42" s="50"/>
      <c r="P42" s="50"/>
      <c r="Q42" s="50"/>
      <c r="R42" s="50"/>
      <c r="U42" s="50"/>
      <c r="V42" s="50"/>
    </row>
    <row r="43" spans="1:23">
      <c r="B43" s="50"/>
      <c r="C43" s="50"/>
      <c r="D43" s="50"/>
      <c r="E43" s="50"/>
      <c r="F43" s="50"/>
      <c r="G43" s="50"/>
      <c r="H43" s="50"/>
      <c r="I43" s="50"/>
      <c r="J43" s="50"/>
      <c r="K43" s="50"/>
      <c r="L43" s="50"/>
      <c r="M43" s="50"/>
      <c r="N43" s="50"/>
      <c r="O43" s="50"/>
      <c r="P43" s="50"/>
      <c r="Q43" s="50"/>
      <c r="R43" s="50"/>
      <c r="U43" s="50"/>
      <c r="V43" s="50"/>
    </row>
    <row r="44" spans="1:23">
      <c r="B44" s="143"/>
      <c r="C44" s="35"/>
      <c r="D44" s="160" t="s">
        <v>50</v>
      </c>
      <c r="E44" s="55"/>
      <c r="F44" s="163" t="s">
        <v>36</v>
      </c>
      <c r="G44" s="56"/>
      <c r="H44" s="166" t="s">
        <v>37</v>
      </c>
      <c r="I44" s="35"/>
      <c r="J44" s="169" t="s">
        <v>46</v>
      </c>
      <c r="K44" s="35"/>
      <c r="L44" s="172" t="s">
        <v>76</v>
      </c>
      <c r="M44" s="57"/>
      <c r="N44" s="172" t="s">
        <v>39</v>
      </c>
      <c r="O44" s="35"/>
      <c r="P44" s="175" t="s">
        <v>77</v>
      </c>
      <c r="Q44" s="58"/>
      <c r="R44" s="175" t="s">
        <v>40</v>
      </c>
      <c r="S44" s="35"/>
    </row>
    <row r="45" spans="1:23">
      <c r="B45" s="143"/>
      <c r="C45" s="35"/>
      <c r="D45" s="161"/>
      <c r="E45" s="55"/>
      <c r="F45" s="164"/>
      <c r="G45" s="56"/>
      <c r="H45" s="167"/>
      <c r="I45" s="35"/>
      <c r="J45" s="170"/>
      <c r="K45" s="35"/>
      <c r="L45" s="173"/>
      <c r="M45" s="57"/>
      <c r="N45" s="173"/>
      <c r="O45" s="35"/>
      <c r="P45" s="176"/>
      <c r="Q45" s="58"/>
      <c r="R45" s="176"/>
      <c r="S45" s="35"/>
    </row>
    <row r="46" spans="1:23">
      <c r="B46" s="143"/>
      <c r="C46" s="35"/>
      <c r="D46" s="161"/>
      <c r="E46" s="55"/>
      <c r="F46" s="164"/>
      <c r="G46" s="56"/>
      <c r="H46" s="167"/>
      <c r="I46" s="35"/>
      <c r="J46" s="170"/>
      <c r="K46" s="35"/>
      <c r="L46" s="173"/>
      <c r="M46" s="57"/>
      <c r="N46" s="173"/>
      <c r="O46" s="35"/>
      <c r="P46" s="176"/>
      <c r="Q46" s="58"/>
      <c r="R46" s="176"/>
      <c r="S46" s="35"/>
    </row>
    <row r="47" spans="1:23">
      <c r="B47" s="143"/>
      <c r="C47" s="35"/>
      <c r="D47" s="162"/>
      <c r="E47" s="59"/>
      <c r="F47" s="165"/>
      <c r="G47" s="59"/>
      <c r="H47" s="168"/>
      <c r="I47" s="35"/>
      <c r="J47" s="171"/>
      <c r="K47" s="35"/>
      <c r="L47" s="174"/>
      <c r="M47" s="38"/>
      <c r="N47" s="174"/>
      <c r="O47" s="35"/>
      <c r="P47" s="177"/>
      <c r="Q47" s="58"/>
      <c r="R47" s="177"/>
      <c r="S47" s="35"/>
    </row>
    <row r="48" spans="1:23" ht="15" thickBot="1">
      <c r="B48" s="41"/>
      <c r="C48" s="35"/>
      <c r="D48" s="35"/>
      <c r="E48" s="35"/>
      <c r="F48" s="35"/>
      <c r="G48" s="35"/>
      <c r="H48" s="31"/>
      <c r="I48" s="35"/>
      <c r="J48" s="35"/>
      <c r="K48" s="35"/>
      <c r="L48" s="39"/>
      <c r="M48" s="39"/>
      <c r="N48" s="39"/>
      <c r="O48" s="35"/>
      <c r="P48" s="35"/>
      <c r="Q48" s="35"/>
      <c r="R48" s="35"/>
      <c r="S48" s="35"/>
    </row>
    <row r="49" spans="2:19" ht="15" thickBot="1">
      <c r="B49" s="41"/>
      <c r="C49" s="35"/>
      <c r="D49" s="1">
        <v>0</v>
      </c>
      <c r="E49" s="35"/>
      <c r="F49" s="43">
        <f>D49*'Смета 2019-20'!I100/12</f>
        <v>0</v>
      </c>
      <c r="G49" s="35"/>
      <c r="H49" s="60">
        <f>F49*3</f>
        <v>0</v>
      </c>
      <c r="I49" s="35"/>
      <c r="J49" s="80">
        <f>H49*4</f>
        <v>0</v>
      </c>
      <c r="K49" s="35"/>
      <c r="L49" s="2">
        <v>0</v>
      </c>
      <c r="M49" s="39"/>
      <c r="N49" s="37">
        <f>L49*'Смета 2019-20'!I53/12</f>
        <v>0</v>
      </c>
      <c r="O49" s="35"/>
      <c r="P49" s="43">
        <f>N49*3</f>
        <v>0</v>
      </c>
      <c r="Q49" s="43"/>
      <c r="R49" s="43">
        <f>P49*4</f>
        <v>0</v>
      </c>
      <c r="S49" s="35"/>
    </row>
    <row r="50" spans="2:19">
      <c r="B50" s="86"/>
      <c r="C50" s="35"/>
      <c r="D50" s="43"/>
      <c r="E50" s="35"/>
      <c r="F50" s="43"/>
      <c r="G50" s="35"/>
      <c r="H50" s="60"/>
      <c r="I50" s="35"/>
      <c r="J50" s="60"/>
      <c r="K50" s="35"/>
      <c r="L50" s="37"/>
      <c r="M50" s="39"/>
      <c r="N50" s="37"/>
      <c r="O50" s="35"/>
      <c r="P50" s="43"/>
      <c r="Q50" s="43"/>
      <c r="R50" s="43"/>
      <c r="S50" s="35"/>
    </row>
    <row r="51" spans="2:19">
      <c r="B51" s="86"/>
      <c r="C51" s="35"/>
      <c r="D51" s="43"/>
      <c r="E51" s="35"/>
      <c r="F51" s="43"/>
      <c r="G51" s="35"/>
      <c r="H51" s="60"/>
      <c r="I51" s="35"/>
      <c r="J51" s="60"/>
      <c r="K51" s="35"/>
      <c r="L51" s="124"/>
      <c r="M51" s="122"/>
      <c r="N51" s="124"/>
      <c r="O51" s="106"/>
      <c r="P51" s="104"/>
      <c r="Q51" s="104"/>
      <c r="R51" s="104"/>
      <c r="S51" s="35"/>
    </row>
    <row r="52" spans="2:19">
      <c r="B52" s="86"/>
      <c r="C52" s="35"/>
      <c r="D52" s="160" t="s">
        <v>105</v>
      </c>
      <c r="E52" s="55"/>
      <c r="F52" s="178" t="s">
        <v>36</v>
      </c>
      <c r="G52" s="56"/>
      <c r="H52" s="166" t="s">
        <v>37</v>
      </c>
      <c r="I52" s="35"/>
      <c r="J52" s="166" t="s">
        <v>46</v>
      </c>
      <c r="K52" s="35"/>
      <c r="L52" s="183"/>
      <c r="M52" s="133"/>
      <c r="N52" s="183"/>
      <c r="O52" s="106"/>
      <c r="P52" s="185"/>
      <c r="Q52" s="134"/>
      <c r="R52" s="185"/>
      <c r="S52" s="35"/>
    </row>
    <row r="53" spans="2:19">
      <c r="B53" s="86"/>
      <c r="C53" s="35"/>
      <c r="D53" s="149"/>
      <c r="E53" s="55"/>
      <c r="F53" s="179"/>
      <c r="G53" s="56"/>
      <c r="H53" s="181"/>
      <c r="I53" s="35"/>
      <c r="J53" s="181"/>
      <c r="K53" s="35"/>
      <c r="L53" s="184"/>
      <c r="M53" s="133"/>
      <c r="N53" s="184"/>
      <c r="O53" s="106"/>
      <c r="P53" s="185"/>
      <c r="Q53" s="134"/>
      <c r="R53" s="185"/>
      <c r="S53" s="35"/>
    </row>
    <row r="54" spans="2:19">
      <c r="B54" s="86"/>
      <c r="C54" s="35"/>
      <c r="D54" s="149"/>
      <c r="E54" s="55"/>
      <c r="F54" s="179"/>
      <c r="G54" s="56"/>
      <c r="H54" s="181"/>
      <c r="I54" s="35"/>
      <c r="J54" s="181"/>
      <c r="K54" s="35"/>
      <c r="L54" s="184"/>
      <c r="M54" s="133"/>
      <c r="N54" s="184"/>
      <c r="O54" s="106"/>
      <c r="P54" s="185"/>
      <c r="Q54" s="134"/>
      <c r="R54" s="185"/>
      <c r="S54" s="35"/>
    </row>
    <row r="55" spans="2:19">
      <c r="B55" s="86"/>
      <c r="C55" s="35"/>
      <c r="D55" s="150"/>
      <c r="E55" s="59"/>
      <c r="F55" s="180"/>
      <c r="G55" s="59"/>
      <c r="H55" s="182"/>
      <c r="I55" s="35"/>
      <c r="J55" s="182"/>
      <c r="K55" s="35"/>
      <c r="L55" s="184"/>
      <c r="M55" s="135"/>
      <c r="N55" s="184"/>
      <c r="O55" s="106"/>
      <c r="P55" s="185"/>
      <c r="Q55" s="134"/>
      <c r="R55" s="185"/>
      <c r="S55" s="35"/>
    </row>
    <row r="56" spans="2:19" ht="15" thickBot="1">
      <c r="B56" s="86"/>
      <c r="C56" s="35"/>
      <c r="D56" s="35"/>
      <c r="E56" s="35"/>
      <c r="F56" s="35"/>
      <c r="G56" s="35"/>
      <c r="H56" s="31"/>
      <c r="I56" s="35"/>
      <c r="J56" s="35"/>
      <c r="K56" s="35"/>
      <c r="L56" s="122"/>
      <c r="M56" s="122"/>
      <c r="N56" s="122"/>
      <c r="O56" s="106"/>
      <c r="P56" s="106"/>
      <c r="Q56" s="106"/>
      <c r="R56" s="106"/>
      <c r="S56" s="35"/>
    </row>
    <row r="57" spans="2:19" ht="15" thickBot="1">
      <c r="B57" s="86"/>
      <c r="C57" s="35"/>
      <c r="D57" s="1">
        <v>0</v>
      </c>
      <c r="E57" s="35"/>
      <c r="F57" s="127">
        <f>D57*'Смета 2019-20'!I162/12</f>
        <v>0</v>
      </c>
      <c r="G57" s="35"/>
      <c r="H57" s="128">
        <f>F57*3</f>
        <v>0</v>
      </c>
      <c r="I57" s="35"/>
      <c r="J57" s="60">
        <f>H57*4</f>
        <v>0</v>
      </c>
      <c r="K57" s="35"/>
      <c r="L57" s="124"/>
      <c r="M57" s="122"/>
      <c r="N57" s="124"/>
      <c r="O57" s="106"/>
      <c r="P57" s="104"/>
      <c r="Q57" s="104"/>
      <c r="R57" s="104"/>
      <c r="S57" s="35"/>
    </row>
    <row r="58" spans="2:19">
      <c r="B58" s="41"/>
      <c r="C58" s="35"/>
      <c r="D58" s="43"/>
      <c r="E58" s="35"/>
      <c r="F58" s="43"/>
      <c r="G58" s="35"/>
      <c r="H58" s="60"/>
      <c r="I58" s="35"/>
      <c r="J58" s="60"/>
      <c r="K58" s="35"/>
      <c r="L58" s="106"/>
      <c r="M58" s="106"/>
      <c r="N58" s="106"/>
      <c r="O58" s="106"/>
      <c r="P58" s="106"/>
      <c r="Q58" s="106"/>
      <c r="R58" s="106"/>
      <c r="S58" s="35"/>
    </row>
    <row r="59" spans="2:19">
      <c r="B59" s="41"/>
      <c r="C59" s="35"/>
      <c r="K59" s="35"/>
      <c r="L59" s="106"/>
      <c r="M59" s="106"/>
      <c r="N59" s="106"/>
      <c r="O59" s="106"/>
      <c r="P59" s="106"/>
      <c r="Q59" s="106"/>
      <c r="R59" s="106"/>
      <c r="S59" s="35"/>
    </row>
    <row r="60" spans="2:19">
      <c r="B60" s="143"/>
      <c r="C60" s="35"/>
      <c r="D60" s="160" t="s">
        <v>48</v>
      </c>
      <c r="E60" s="55"/>
      <c r="F60" s="163" t="s">
        <v>101</v>
      </c>
      <c r="G60" s="56"/>
      <c r="H60" s="169" t="s">
        <v>37</v>
      </c>
      <c r="I60" s="35"/>
      <c r="J60" s="163" t="s">
        <v>46</v>
      </c>
      <c r="K60" s="35"/>
      <c r="L60" s="35"/>
      <c r="M60" s="35"/>
      <c r="N60" s="35"/>
      <c r="O60" s="35"/>
      <c r="P60" s="35"/>
      <c r="Q60" s="35"/>
      <c r="R60" s="35"/>
      <c r="S60" s="35"/>
    </row>
    <row r="61" spans="2:19">
      <c r="B61" s="186"/>
      <c r="C61" s="35"/>
      <c r="D61" s="187"/>
      <c r="E61" s="55"/>
      <c r="F61" s="164"/>
      <c r="G61" s="56"/>
      <c r="H61" s="170"/>
      <c r="I61" s="35"/>
      <c r="J61" s="164"/>
      <c r="K61" s="35"/>
      <c r="L61" s="35"/>
      <c r="M61" s="35"/>
      <c r="N61" s="35"/>
      <c r="O61" s="35"/>
      <c r="P61" s="35"/>
      <c r="Q61" s="35"/>
      <c r="R61" s="35"/>
      <c r="S61" s="35"/>
    </row>
    <row r="62" spans="2:19">
      <c r="B62" s="186"/>
      <c r="C62" s="35"/>
      <c r="D62" s="187"/>
      <c r="E62" s="55"/>
      <c r="F62" s="164"/>
      <c r="G62" s="56"/>
      <c r="H62" s="170"/>
      <c r="I62" s="35"/>
      <c r="J62" s="164"/>
      <c r="K62" s="35"/>
      <c r="L62" s="35"/>
      <c r="M62" s="35"/>
      <c r="N62" s="35"/>
      <c r="O62" s="35"/>
      <c r="P62" s="35"/>
      <c r="Q62" s="35"/>
      <c r="R62" s="35"/>
      <c r="S62" s="35"/>
    </row>
    <row r="63" spans="2:19">
      <c r="B63" s="186"/>
      <c r="C63" s="35"/>
      <c r="D63" s="188"/>
      <c r="E63" s="59"/>
      <c r="F63" s="189"/>
      <c r="G63" s="59"/>
      <c r="H63" s="190"/>
      <c r="I63" s="35"/>
      <c r="J63" s="189"/>
      <c r="K63" s="35"/>
      <c r="L63" s="35"/>
      <c r="M63" s="35"/>
      <c r="N63" s="35"/>
      <c r="O63" s="35"/>
      <c r="P63" s="35"/>
      <c r="Q63" s="35"/>
      <c r="R63" s="35"/>
      <c r="S63" s="35"/>
    </row>
    <row r="64" spans="2:19" ht="15" thickBot="1">
      <c r="B64" s="41"/>
      <c r="C64" s="35"/>
      <c r="D64" s="35"/>
      <c r="E64" s="35"/>
      <c r="F64" s="35"/>
      <c r="G64" s="35"/>
      <c r="H64" s="35"/>
      <c r="I64" s="35"/>
      <c r="J64" s="35"/>
      <c r="K64" s="35"/>
      <c r="L64" s="35"/>
      <c r="M64" s="35"/>
      <c r="N64" s="35"/>
      <c r="O64" s="35"/>
      <c r="P64" s="35"/>
      <c r="Q64" s="35"/>
      <c r="R64" s="35"/>
      <c r="S64" s="35"/>
    </row>
    <row r="65" spans="2:19" ht="15" thickBot="1">
      <c r="B65" s="41"/>
      <c r="C65" s="35"/>
      <c r="D65" s="1">
        <v>0</v>
      </c>
      <c r="E65" s="35"/>
      <c r="F65" s="43">
        <f>N8*((17*'Смета 2019-20'!I33/12)+((25-17)*'Смета 2019-20'!I33*0.8/12)+(D65-25)*'Смета 2019-20'!I33*0.75/12)</f>
        <v>0</v>
      </c>
      <c r="G65" s="35"/>
      <c r="H65" s="29">
        <f>F65*3</f>
        <v>0</v>
      </c>
      <c r="I65" s="35"/>
      <c r="J65" s="43">
        <f>H65*4</f>
        <v>0</v>
      </c>
      <c r="K65" s="35"/>
      <c r="L65" s="43"/>
      <c r="M65" s="35"/>
      <c r="N65" s="35"/>
      <c r="O65" s="35"/>
      <c r="P65" s="35"/>
      <c r="Q65" s="35"/>
      <c r="R65" s="35"/>
      <c r="S65" s="35"/>
    </row>
    <row r="66" spans="2:19">
      <c r="B66" s="86"/>
      <c r="C66" s="35"/>
      <c r="D66" s="43"/>
      <c r="E66" s="35"/>
      <c r="F66" s="43"/>
      <c r="G66" s="35"/>
      <c r="H66" s="43"/>
      <c r="I66" s="35"/>
      <c r="J66" s="43"/>
      <c r="K66" s="35"/>
      <c r="L66" s="35"/>
      <c r="M66" s="35"/>
      <c r="N66" s="35"/>
      <c r="O66" s="35"/>
      <c r="P66" s="35"/>
      <c r="Q66" s="35"/>
      <c r="R66" s="35"/>
      <c r="S66" s="35"/>
    </row>
    <row r="67" spans="2:19">
      <c r="B67" s="86"/>
      <c r="C67" s="35"/>
      <c r="D67" s="35"/>
      <c r="E67" s="35"/>
      <c r="F67" s="35"/>
      <c r="G67" s="35"/>
      <c r="H67" s="35"/>
      <c r="I67" s="35"/>
      <c r="J67" s="35"/>
      <c r="K67" s="35"/>
      <c r="L67" s="35"/>
      <c r="M67" s="35"/>
      <c r="N67" s="35"/>
      <c r="O67" s="35"/>
      <c r="P67" s="35"/>
      <c r="Q67" s="35"/>
      <c r="R67" s="35"/>
      <c r="S67" s="35"/>
    </row>
    <row r="68" spans="2:19">
      <c r="B68" s="143"/>
      <c r="C68" s="35"/>
      <c r="D68" s="160" t="s">
        <v>78</v>
      </c>
      <c r="E68" s="35"/>
      <c r="F68" s="157" t="s">
        <v>102</v>
      </c>
      <c r="G68" s="35"/>
      <c r="H68" s="193" t="s">
        <v>44</v>
      </c>
      <c r="I68" s="35"/>
      <c r="J68" s="196" t="s">
        <v>45</v>
      </c>
      <c r="K68" s="35"/>
      <c r="L68" s="35"/>
      <c r="M68" s="35"/>
      <c r="N68" s="35"/>
      <c r="O68" s="35"/>
      <c r="P68" s="35"/>
      <c r="Q68" s="35"/>
      <c r="R68" s="35"/>
      <c r="S68" s="35"/>
    </row>
    <row r="69" spans="2:19">
      <c r="B69" s="143"/>
      <c r="C69" s="35"/>
      <c r="D69" s="187"/>
      <c r="E69" s="35"/>
      <c r="F69" s="191"/>
      <c r="G69" s="35"/>
      <c r="H69" s="194"/>
      <c r="I69" s="35"/>
      <c r="J69" s="197"/>
      <c r="K69" s="35"/>
      <c r="L69" s="35"/>
      <c r="M69" s="35"/>
      <c r="N69" s="35"/>
      <c r="O69" s="35"/>
      <c r="P69" s="35"/>
      <c r="Q69" s="35"/>
      <c r="R69" s="35"/>
      <c r="S69" s="35"/>
    </row>
    <row r="70" spans="2:19">
      <c r="B70" s="143"/>
      <c r="C70" s="35"/>
      <c r="D70" s="187"/>
      <c r="E70" s="35"/>
      <c r="F70" s="191"/>
      <c r="G70" s="35"/>
      <c r="H70" s="194"/>
      <c r="I70" s="35"/>
      <c r="J70" s="197"/>
      <c r="K70" s="35"/>
      <c r="L70" s="35"/>
      <c r="M70" s="35"/>
      <c r="N70" s="35"/>
      <c r="O70" s="35"/>
      <c r="P70" s="35"/>
      <c r="Q70" s="35"/>
      <c r="R70" s="35"/>
      <c r="S70" s="35"/>
    </row>
    <row r="71" spans="2:19" ht="27" customHeight="1">
      <c r="B71" s="143"/>
      <c r="C71" s="35"/>
      <c r="D71" s="188"/>
      <c r="E71" s="61"/>
      <c r="F71" s="192"/>
      <c r="G71" s="61"/>
      <c r="H71" s="195"/>
      <c r="I71" s="35"/>
      <c r="J71" s="198"/>
      <c r="K71" s="35"/>
      <c r="L71" s="35"/>
      <c r="M71" s="35"/>
      <c r="N71" s="35"/>
      <c r="O71" s="35"/>
      <c r="P71" s="35"/>
      <c r="Q71" s="35"/>
      <c r="R71" s="35"/>
      <c r="S71" s="35"/>
    </row>
    <row r="72" spans="2:19" ht="15" thickBot="1">
      <c r="B72" s="35"/>
      <c r="C72" s="35"/>
      <c r="D72" s="35"/>
      <c r="E72" s="35"/>
      <c r="F72" s="35"/>
      <c r="G72" s="35"/>
      <c r="H72" s="35"/>
      <c r="I72" s="35"/>
      <c r="J72" s="35"/>
      <c r="K72" s="35"/>
      <c r="L72" s="35"/>
      <c r="M72" s="35"/>
      <c r="N72" s="35"/>
      <c r="O72" s="35"/>
      <c r="P72" s="35"/>
      <c r="Q72" s="35"/>
      <c r="R72" s="35"/>
      <c r="S72" s="35"/>
    </row>
    <row r="73" spans="2:19" ht="15" thickBot="1">
      <c r="B73" s="35"/>
      <c r="C73" s="35"/>
      <c r="D73" s="1">
        <v>0</v>
      </c>
      <c r="E73" s="35"/>
      <c r="F73" s="43">
        <f>H8*((17*'Смета 2019-20'!I33/12)+((D73-17)*'Смета 2019-20'!I33*0.8)/12)</f>
        <v>0</v>
      </c>
      <c r="G73" s="35"/>
      <c r="H73" s="29">
        <f>F73*3</f>
        <v>0</v>
      </c>
      <c r="I73" s="35"/>
      <c r="J73" s="43">
        <f>H73*4</f>
        <v>0</v>
      </c>
      <c r="K73" s="35"/>
      <c r="L73" s="43"/>
      <c r="M73" s="35"/>
      <c r="N73" s="35"/>
      <c r="O73" s="35"/>
      <c r="P73" s="35"/>
      <c r="Q73" s="35"/>
      <c r="R73" s="35"/>
      <c r="S73" s="35"/>
    </row>
    <row r="74" spans="2:19">
      <c r="B74" s="35"/>
      <c r="C74" s="35"/>
      <c r="D74" s="43"/>
      <c r="E74" s="35"/>
      <c r="F74" s="43"/>
      <c r="G74" s="35"/>
      <c r="H74" s="43"/>
      <c r="I74" s="35"/>
      <c r="J74" s="43"/>
      <c r="K74" s="35"/>
      <c r="L74" s="35"/>
      <c r="M74" s="35"/>
      <c r="N74" s="35"/>
      <c r="O74" s="35"/>
      <c r="P74" s="35"/>
      <c r="Q74" s="35"/>
      <c r="R74" s="35"/>
      <c r="S74" s="35"/>
    </row>
    <row r="75" spans="2:19">
      <c r="B75" s="35"/>
      <c r="C75" s="35"/>
      <c r="D75" s="35"/>
      <c r="E75" s="35"/>
      <c r="F75" s="35"/>
      <c r="G75" s="35"/>
      <c r="H75" s="35"/>
      <c r="I75" s="35"/>
      <c r="J75" s="35"/>
      <c r="K75" s="35"/>
      <c r="L75" s="35"/>
      <c r="M75" s="35"/>
      <c r="N75" s="35"/>
      <c r="O75" s="35"/>
      <c r="P75" s="35"/>
      <c r="Q75" s="35"/>
      <c r="R75" s="35"/>
      <c r="S75" s="35"/>
    </row>
    <row r="76" spans="2:19">
      <c r="B76" s="199"/>
      <c r="C76" s="56"/>
      <c r="D76" s="200" t="s">
        <v>56</v>
      </c>
      <c r="E76" s="55"/>
      <c r="F76" s="203" t="s">
        <v>36</v>
      </c>
      <c r="G76" s="56"/>
      <c r="H76" s="163" t="s">
        <v>37</v>
      </c>
      <c r="I76" s="35"/>
      <c r="J76" s="163" t="s">
        <v>46</v>
      </c>
      <c r="K76" s="35"/>
      <c r="L76" s="35"/>
      <c r="M76" s="35"/>
      <c r="N76" s="35"/>
      <c r="O76" s="35"/>
      <c r="P76" s="35"/>
      <c r="Q76" s="35"/>
      <c r="R76" s="35"/>
      <c r="S76" s="35"/>
    </row>
    <row r="77" spans="2:19">
      <c r="B77" s="199"/>
      <c r="C77" s="56"/>
      <c r="D77" s="201"/>
      <c r="E77" s="55"/>
      <c r="F77" s="204"/>
      <c r="G77" s="56"/>
      <c r="H77" s="164"/>
      <c r="I77" s="35"/>
      <c r="J77" s="164"/>
      <c r="K77" s="35"/>
      <c r="L77" s="35"/>
      <c r="M77" s="35"/>
      <c r="N77" s="35"/>
      <c r="O77" s="35"/>
      <c r="P77" s="35"/>
      <c r="Q77" s="35"/>
      <c r="R77" s="35"/>
      <c r="S77" s="35"/>
    </row>
    <row r="78" spans="2:19">
      <c r="B78" s="199"/>
      <c r="C78" s="56"/>
      <c r="D78" s="201"/>
      <c r="E78" s="55"/>
      <c r="F78" s="204"/>
      <c r="G78" s="56"/>
      <c r="H78" s="164"/>
      <c r="I78" s="35"/>
      <c r="J78" s="164"/>
      <c r="K78" s="35"/>
      <c r="L78" s="35"/>
      <c r="M78" s="35"/>
      <c r="N78" s="35"/>
      <c r="O78" s="35"/>
      <c r="P78" s="35"/>
      <c r="Q78" s="35"/>
      <c r="R78" s="35"/>
      <c r="S78" s="35"/>
    </row>
    <row r="79" spans="2:19">
      <c r="B79" s="199"/>
      <c r="C79" s="59"/>
      <c r="D79" s="202"/>
      <c r="E79" s="59"/>
      <c r="F79" s="205"/>
      <c r="G79" s="59"/>
      <c r="H79" s="189"/>
      <c r="I79" s="35"/>
      <c r="J79" s="189"/>
      <c r="K79" s="35"/>
      <c r="L79" s="35"/>
      <c r="M79" s="35"/>
      <c r="N79" s="35"/>
      <c r="O79" s="35"/>
      <c r="P79" s="35"/>
      <c r="Q79" s="35"/>
      <c r="R79" s="35"/>
      <c r="S79" s="35"/>
    </row>
    <row r="80" spans="2:19" ht="15" thickBot="1">
      <c r="B80" s="35"/>
      <c r="C80" s="35"/>
      <c r="D80" s="35"/>
      <c r="E80" s="35"/>
      <c r="F80" s="35"/>
      <c r="G80" s="35"/>
      <c r="H80" s="35"/>
      <c r="I80" s="35"/>
      <c r="J80" s="35"/>
      <c r="K80" s="35"/>
      <c r="L80" s="35"/>
      <c r="M80" s="35"/>
      <c r="N80" s="35"/>
      <c r="O80" s="35"/>
      <c r="P80" s="35"/>
      <c r="Q80" s="35"/>
      <c r="R80" s="35"/>
      <c r="S80" s="35"/>
    </row>
    <row r="81" spans="2:19" ht="15" thickBot="1">
      <c r="B81" s="43"/>
      <c r="C81" s="35"/>
      <c r="D81" s="129">
        <v>0</v>
      </c>
      <c r="E81" s="35"/>
      <c r="F81" s="29">
        <f>D81*'Смета 2019-20'!I33/12</f>
        <v>0</v>
      </c>
      <c r="G81" s="35"/>
      <c r="H81" s="43">
        <f>F81*3</f>
        <v>0</v>
      </c>
      <c r="I81" s="35"/>
      <c r="J81" s="43">
        <f>H81*4</f>
        <v>0</v>
      </c>
      <c r="K81" s="35"/>
      <c r="L81" s="35"/>
      <c r="M81" s="35"/>
      <c r="N81" s="35"/>
      <c r="O81" s="35"/>
      <c r="P81" s="35"/>
      <c r="Q81" s="35"/>
      <c r="R81" s="35"/>
      <c r="S81" s="35"/>
    </row>
    <row r="82" spans="2:19">
      <c r="B82" s="43"/>
      <c r="C82" s="35"/>
      <c r="D82" s="43"/>
      <c r="E82" s="35"/>
      <c r="F82" s="43"/>
      <c r="G82" s="35"/>
      <c r="H82" s="43"/>
      <c r="I82" s="35"/>
      <c r="J82" s="35"/>
      <c r="K82" s="35"/>
      <c r="L82" s="35"/>
      <c r="M82" s="35"/>
      <c r="N82" s="35"/>
      <c r="O82" s="35"/>
      <c r="P82" s="35"/>
      <c r="Q82" s="35"/>
      <c r="R82" s="35"/>
      <c r="S82" s="35"/>
    </row>
    <row r="83" spans="2:19">
      <c r="B83" s="43"/>
      <c r="C83" s="35"/>
      <c r="D83" s="43"/>
      <c r="E83" s="35"/>
      <c r="F83" s="43"/>
      <c r="G83" s="35"/>
      <c r="H83" s="43"/>
      <c r="I83" s="35"/>
      <c r="J83" s="35"/>
      <c r="K83" s="35"/>
      <c r="L83" s="35"/>
      <c r="M83" s="35"/>
      <c r="N83" s="35"/>
      <c r="O83" s="35"/>
      <c r="P83" s="35"/>
      <c r="Q83" s="35"/>
      <c r="R83" s="35"/>
      <c r="S83" s="35"/>
    </row>
    <row r="84" spans="2:19">
      <c r="B84" s="43"/>
      <c r="C84" s="35"/>
      <c r="D84" s="47" t="s">
        <v>52</v>
      </c>
      <c r="E84" s="62"/>
      <c r="F84" s="47" t="s">
        <v>55</v>
      </c>
      <c r="G84" s="62"/>
      <c r="H84" s="47" t="s">
        <v>53</v>
      </c>
      <c r="I84" s="62"/>
      <c r="J84" s="62" t="s">
        <v>54</v>
      </c>
      <c r="K84" s="35"/>
      <c r="L84" s="62" t="s">
        <v>52</v>
      </c>
      <c r="M84" s="35"/>
      <c r="N84" s="47" t="s">
        <v>55</v>
      </c>
      <c r="O84" s="62"/>
      <c r="P84" s="47" t="s">
        <v>53</v>
      </c>
      <c r="Q84" s="62"/>
      <c r="R84" s="62" t="s">
        <v>54</v>
      </c>
      <c r="S84" s="35"/>
    </row>
    <row r="85" spans="2:19">
      <c r="B85" s="43"/>
      <c r="C85" s="35"/>
      <c r="D85" s="43"/>
      <c r="E85" s="35"/>
      <c r="F85" s="43"/>
      <c r="G85" s="35"/>
      <c r="H85" s="43"/>
      <c r="I85" s="35"/>
      <c r="J85" s="35"/>
      <c r="K85" s="35"/>
      <c r="L85" s="35"/>
      <c r="M85" s="35"/>
      <c r="N85" s="43"/>
      <c r="O85" s="35"/>
      <c r="P85" s="43"/>
      <c r="Q85" s="35"/>
      <c r="R85" s="35"/>
      <c r="S85" s="35"/>
    </row>
    <row r="86" spans="2:19">
      <c r="B86" s="43" t="s">
        <v>51</v>
      </c>
      <c r="C86" s="35"/>
      <c r="D86" s="43">
        <f>D81+D73+D65+D49+D57</f>
        <v>0</v>
      </c>
      <c r="E86" s="35"/>
      <c r="F86" s="43">
        <f>F81+F73+F65+F49+F57</f>
        <v>0</v>
      </c>
      <c r="G86" s="35"/>
      <c r="H86" s="43">
        <f>H81+H73+H65+H49+H57</f>
        <v>0</v>
      </c>
      <c r="I86" s="35"/>
      <c r="J86" s="43">
        <f>J65+J73+J81+J49+J57</f>
        <v>0</v>
      </c>
      <c r="K86" s="35"/>
      <c r="L86" s="43">
        <f>L49+L57</f>
        <v>0</v>
      </c>
      <c r="M86" s="35"/>
      <c r="N86" s="43">
        <f>N49+N57</f>
        <v>0</v>
      </c>
      <c r="O86" s="35"/>
      <c r="P86" s="43">
        <f>P49+P57</f>
        <v>0</v>
      </c>
      <c r="Q86" s="35"/>
      <c r="R86" s="43">
        <f>R49+R57</f>
        <v>0</v>
      </c>
      <c r="S86" s="35"/>
    </row>
    <row r="87" spans="2:19" ht="15" thickBot="1">
      <c r="B87" s="32"/>
      <c r="C87" s="32"/>
      <c r="D87" s="32"/>
      <c r="E87" s="32"/>
      <c r="F87" s="32"/>
      <c r="G87" s="32"/>
      <c r="H87" s="32"/>
      <c r="I87" s="32"/>
      <c r="J87" s="32"/>
      <c r="K87" s="32"/>
      <c r="L87" s="32"/>
      <c r="M87" s="32"/>
      <c r="N87" s="32"/>
      <c r="O87" s="32"/>
      <c r="P87" s="32"/>
      <c r="Q87" s="32"/>
      <c r="R87" s="32"/>
      <c r="S87" s="32"/>
    </row>
    <row r="91" spans="2:19" ht="21" customHeight="1">
      <c r="J91" s="78" t="s">
        <v>98</v>
      </c>
      <c r="L91" s="83">
        <f>F86+N86</f>
        <v>0</v>
      </c>
      <c r="N91" s="83">
        <f>H86+P86</f>
        <v>0</v>
      </c>
      <c r="P91" s="83">
        <f>J86+R86</f>
        <v>0</v>
      </c>
    </row>
  </sheetData>
  <mergeCells count="32">
    <mergeCell ref="B76:B79"/>
    <mergeCell ref="D76:D79"/>
    <mergeCell ref="F76:F79"/>
    <mergeCell ref="H76:H79"/>
    <mergeCell ref="J76:J79"/>
    <mergeCell ref="B68:B71"/>
    <mergeCell ref="D68:D71"/>
    <mergeCell ref="F68:F71"/>
    <mergeCell ref="H68:H71"/>
    <mergeCell ref="J68:J71"/>
    <mergeCell ref="B60:B63"/>
    <mergeCell ref="D60:D63"/>
    <mergeCell ref="F60:F63"/>
    <mergeCell ref="H60:H63"/>
    <mergeCell ref="J60:J63"/>
    <mergeCell ref="L44:L47"/>
    <mergeCell ref="N44:N47"/>
    <mergeCell ref="P44:P47"/>
    <mergeCell ref="R44:R47"/>
    <mergeCell ref="D52:D55"/>
    <mergeCell ref="F52:F55"/>
    <mergeCell ref="H52:H55"/>
    <mergeCell ref="J52:J55"/>
    <mergeCell ref="L52:L55"/>
    <mergeCell ref="N52:N55"/>
    <mergeCell ref="P52:P55"/>
    <mergeCell ref="R52:R55"/>
    <mergeCell ref="B44:B47"/>
    <mergeCell ref="D44:D47"/>
    <mergeCell ref="F44:F47"/>
    <mergeCell ref="H44:H47"/>
    <mergeCell ref="J44:J47"/>
  </mergeCells>
  <phoneticPr fontId="10" type="noConversion"/>
  <pageMargins left="0.75000000000000011" right="0.75000000000000011" top="1" bottom="1" header="0.5" footer="0.5"/>
  <pageSetup paperSize="9" scale="63" orientation="landscape" horizontalDpi="4294967292" verticalDpi="4294967292"/>
  <rowBreaks count="2" manualBreakCount="2">
    <brk id="40" max="16383" man="1"/>
    <brk id="92" max="16383"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Смета 2019-20</vt:lpstr>
      <vt:lpstr>Расчет взносов</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Любушкина Юлия Андреевна</dc:creator>
  <cp:lastModifiedBy>Admin  </cp:lastModifiedBy>
  <cp:lastPrinted>2018-06-11T08:17:06Z</cp:lastPrinted>
  <dcterms:created xsi:type="dcterms:W3CDTF">2019-05-30T00:52:37Z</dcterms:created>
  <dcterms:modified xsi:type="dcterms:W3CDTF">2019-10-06T14:31:31Z</dcterms:modified>
</cp:coreProperties>
</file>