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30930" windowHeight="12570"/>
  </bookViews>
  <sheets>
    <sheet name="Смета 2023-24" sheetId="1" r:id="rId1"/>
    <sheet name="План-фактный анализ 2022-2023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E11" i="2" l="1"/>
  <c r="F16" i="2"/>
  <c r="E16" i="2"/>
  <c r="D16" i="2"/>
  <c r="F15" i="2"/>
  <c r="E15" i="2"/>
  <c r="D15" i="2"/>
  <c r="F14" i="2"/>
  <c r="E14" i="2"/>
  <c r="D14" i="2"/>
  <c r="F13" i="2"/>
  <c r="E13" i="2"/>
  <c r="D13" i="2"/>
  <c r="E12" i="2"/>
  <c r="D12" i="2"/>
  <c r="F11" i="2"/>
  <c r="D11" i="2"/>
  <c r="F10" i="2"/>
  <c r="E10" i="2"/>
  <c r="D10" i="2"/>
  <c r="F9" i="2"/>
  <c r="D9" i="2"/>
  <c r="F8" i="2"/>
  <c r="E8" i="2"/>
  <c r="D8" i="2"/>
  <c r="F7" i="2"/>
  <c r="E7" i="2"/>
  <c r="D7" i="2"/>
  <c r="F6" i="2"/>
  <c r="E6" i="2"/>
  <c r="D6" i="2"/>
  <c r="F5" i="2"/>
  <c r="F18" i="2" s="1"/>
  <c r="E5" i="2"/>
  <c r="D5" i="2"/>
  <c r="D18" i="2" s="1"/>
  <c r="L47" i="1"/>
  <c r="H43" i="1"/>
  <c r="H42" i="1"/>
  <c r="H41" i="1"/>
  <c r="H40" i="1"/>
  <c r="H39" i="1"/>
  <c r="H38" i="1"/>
  <c r="H37" i="1"/>
  <c r="H36" i="1"/>
  <c r="H35" i="1"/>
  <c r="H34" i="1"/>
  <c r="H33" i="1"/>
  <c r="H32" i="1"/>
  <c r="H25" i="1"/>
  <c r="H24" i="1"/>
  <c r="H23" i="1"/>
  <c r="H22" i="1"/>
  <c r="H21" i="1"/>
  <c r="H20" i="1"/>
  <c r="H19" i="1"/>
  <c r="H18" i="1"/>
  <c r="H17" i="1"/>
  <c r="H16" i="1"/>
  <c r="H15" i="1"/>
  <c r="H14" i="1"/>
  <c r="F13" i="1"/>
  <c r="H12" i="1"/>
  <c r="H11" i="1"/>
  <c r="H10" i="1"/>
  <c r="H9" i="1"/>
  <c r="G9" i="1"/>
  <c r="G13" i="1" s="1"/>
  <c r="H8" i="1"/>
  <c r="H45" i="1" l="1"/>
  <c r="H13" i="1"/>
  <c r="E18" i="2"/>
  <c r="H27" i="1"/>
  <c r="H47" i="1" s="1"/>
</calcChain>
</file>

<file path=xl/sharedStrings.xml><?xml version="1.0" encoding="utf-8"?>
<sst xmlns="http://schemas.openxmlformats.org/spreadsheetml/2006/main" count="101" uniqueCount="69">
  <si>
    <t>Бюджет расходов ТСН "Раздолье" на 2023-24 год</t>
  </si>
  <si>
    <t>Членские взносы:</t>
  </si>
  <si>
    <t>№</t>
  </si>
  <si>
    <t>Статьи расходов</t>
  </si>
  <si>
    <t>Период.</t>
  </si>
  <si>
    <t>Кол-во периодов в год</t>
  </si>
  <si>
    <t>Руб./период</t>
  </si>
  <si>
    <t>Сумма, руб./год</t>
  </si>
  <si>
    <t>Фонд оплаты труда:</t>
  </si>
  <si>
    <t>Председатель</t>
  </si>
  <si>
    <t>месяц</t>
  </si>
  <si>
    <t>Менеджер поселка</t>
  </si>
  <si>
    <t>Охрана 1</t>
  </si>
  <si>
    <t>Охрана 2</t>
  </si>
  <si>
    <t>Помощник председателя 1 (Электричество) Атякшев С.</t>
  </si>
  <si>
    <t>Налоги ФОТ</t>
  </si>
  <si>
    <t>Общая сумма процента предоставлена бухгалтерией + 6% налог УСН</t>
  </si>
  <si>
    <t>Бухгалтерское обслуживание (аутсорс)</t>
  </si>
  <si>
    <t>Бухг. ПО</t>
  </si>
  <si>
    <t>год</t>
  </si>
  <si>
    <t xml:space="preserve">ЭЦП </t>
  </si>
  <si>
    <t>Обслуживание р/с (банк)</t>
  </si>
  <si>
    <t>мес</t>
  </si>
  <si>
    <t>Сайт (домен+хостинг)</t>
  </si>
  <si>
    <t>Юрист</t>
  </si>
  <si>
    <t>Содержание имущества общего пользования, Хоз. нужды, Инвентарь</t>
  </si>
  <si>
    <t>Рабочий по поселку</t>
  </si>
  <si>
    <t xml:space="preserve">Общее эл-во (освещение, домик охраны, офис, шлагбаум) </t>
  </si>
  <si>
    <t>Потери в сетях</t>
  </si>
  <si>
    <t xml:space="preserve">Вывоз мусора </t>
  </si>
  <si>
    <t>Cотовая связь, охрана, Менеджер, Аскуе</t>
  </si>
  <si>
    <t>Итого Членские взносы:</t>
  </si>
  <si>
    <t>Целевые взносы:</t>
  </si>
  <si>
    <t>Сумма,р.</t>
  </si>
  <si>
    <t>Сумма,р./год</t>
  </si>
  <si>
    <t>Облагораживание территории озера</t>
  </si>
  <si>
    <t>уже внесено</t>
  </si>
  <si>
    <t>Замена детской площадки</t>
  </si>
  <si>
    <t>Отделка въездной группы планкеном/бруском с подсветкой</t>
  </si>
  <si>
    <t>Отделка офиса планкеном/бруском с подсветкой</t>
  </si>
  <si>
    <t>Уборка снега - 1-ая очередь и 2 очередь</t>
  </si>
  <si>
    <t>чистка</t>
  </si>
  <si>
    <t>смета</t>
  </si>
  <si>
    <t>Контроль качества воды. Чистка дна в местах купания, пляж</t>
  </si>
  <si>
    <t>Дамба (профилактика, ремонт)</t>
  </si>
  <si>
    <t>Пожарная безопасность (огнетушители. Стенд, рынды)</t>
  </si>
  <si>
    <t xml:space="preserve">Водоотведение/Ливневки/Работы по ремонту дорог </t>
  </si>
  <si>
    <t xml:space="preserve"> </t>
  </si>
  <si>
    <t>Борщевик</t>
  </si>
  <si>
    <t>Проведение мероприятий поселка (Собрание, 9 мая)</t>
  </si>
  <si>
    <t>Итого Целевые взносы:</t>
  </si>
  <si>
    <t>Итого Бюджет расходов на 2023-2024 год:</t>
  </si>
  <si>
    <t>2022-2023 год (для сравнения)</t>
  </si>
  <si>
    <t>План-фактный анализ и прогноз расходов ТСН "Раздолье"_2022-2023-2024</t>
  </si>
  <si>
    <t>План</t>
  </si>
  <si>
    <t>Факт</t>
  </si>
  <si>
    <t>Прогноз</t>
  </si>
  <si>
    <t>Фонд оплаты труда (с налогами)</t>
  </si>
  <si>
    <t>Бухгалтерское обслуживание</t>
  </si>
  <si>
    <t xml:space="preserve">Инвентарь и расходные материалы </t>
  </si>
  <si>
    <t>Работы по поселку</t>
  </si>
  <si>
    <t>Благоустройство озера</t>
  </si>
  <si>
    <t>Общее эл-во</t>
  </si>
  <si>
    <t>Обслуживание КТП</t>
  </si>
  <si>
    <t>Материалы для ремонта дорог</t>
  </si>
  <si>
    <t>Уборка снега</t>
  </si>
  <si>
    <t>Прочее</t>
  </si>
  <si>
    <t>ИТОГО:</t>
  </si>
  <si>
    <t>Материалы для ремонта дорог - 1-ая очередь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</si>
</sst>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rgb="FFFF000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1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theme="9" tint="-0.249977111117893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9" tint="0.79998168889431442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9" fontId="18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</cellStyleXfs>
  <cellXfs count="96">
    <xf numFmtId="0" fontId="0" fillId="0" borderId="0" xfId="0"/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horizontal="center" vertical="top"/>
    </xf>
    <xf numFmtId="4" fontId="2" fillId="2" borderId="0" xfId="1" applyNumberFormat="1" applyFont="1" applyFill="1" applyAlignment="1">
      <alignment vertical="top"/>
    </xf>
    <xf numFmtId="0" fontId="3" fillId="2" borderId="0" xfId="1" applyFont="1" applyFill="1" applyAlignment="1">
      <alignment horizontal="center" vertical="top"/>
    </xf>
    <xf numFmtId="0" fontId="4" fillId="2" borderId="0" xfId="1" applyFont="1" applyFill="1" applyAlignment="1">
      <alignment vertical="top"/>
    </xf>
    <xf numFmtId="0" fontId="2" fillId="0" borderId="0" xfId="1" applyFont="1" applyAlignment="1">
      <alignment vertical="top"/>
    </xf>
    <xf numFmtId="0" fontId="1" fillId="2" borderId="0" xfId="1" applyFill="1" applyAlignment="1">
      <alignment vertical="top"/>
    </xf>
    <xf numFmtId="0" fontId="5" fillId="2" borderId="0" xfId="1" applyFont="1" applyFill="1" applyAlignment="1">
      <alignment vertical="top"/>
    </xf>
    <xf numFmtId="0" fontId="1" fillId="2" borderId="0" xfId="1" applyFill="1" applyAlignment="1">
      <alignment horizontal="center" vertical="top"/>
    </xf>
    <xf numFmtId="4" fontId="1" fillId="2" borderId="0" xfId="1" applyNumberFormat="1" applyFill="1" applyAlignment="1">
      <alignment vertical="top"/>
    </xf>
    <xf numFmtId="0" fontId="6" fillId="2" borderId="0" xfId="1" applyFont="1" applyFill="1" applyAlignment="1">
      <alignment horizontal="center" vertical="top"/>
    </xf>
    <xf numFmtId="0" fontId="7" fillId="2" borderId="0" xfId="1" applyFont="1" applyFill="1" applyAlignment="1">
      <alignment vertical="top"/>
    </xf>
    <xf numFmtId="0" fontId="1" fillId="0" borderId="0" xfId="1" applyAlignment="1">
      <alignment vertical="top"/>
    </xf>
    <xf numFmtId="0" fontId="8" fillId="2" borderId="0" xfId="1" applyFont="1" applyFill="1" applyAlignment="1">
      <alignment vertical="top"/>
    </xf>
    <xf numFmtId="0" fontId="1" fillId="2" borderId="1" xfId="1" applyFill="1" applyBorder="1" applyAlignment="1">
      <alignment vertical="top"/>
    </xf>
    <xf numFmtId="0" fontId="1" fillId="2" borderId="1" xfId="1" applyFill="1" applyBorder="1" applyAlignment="1">
      <alignment horizontal="center" vertical="top"/>
    </xf>
    <xf numFmtId="0" fontId="1" fillId="2" borderId="1" xfId="1" applyFill="1" applyBorder="1" applyAlignment="1">
      <alignment horizontal="center" vertical="top" wrapText="1"/>
    </xf>
    <xf numFmtId="4" fontId="1" fillId="2" borderId="1" xfId="1" applyNumberFormat="1" applyFill="1" applyBorder="1" applyAlignment="1">
      <alignment horizontal="center" vertical="top"/>
    </xf>
    <xf numFmtId="4" fontId="6" fillId="2" borderId="0" xfId="1" applyNumberFormat="1" applyFont="1" applyFill="1" applyAlignment="1">
      <alignment vertical="top" wrapText="1"/>
    </xf>
    <xf numFmtId="0" fontId="7" fillId="2" borderId="2" xfId="1" applyFont="1" applyFill="1" applyBorder="1" applyAlignment="1">
      <alignment vertical="top"/>
    </xf>
    <xf numFmtId="0" fontId="1" fillId="0" borderId="1" xfId="1" applyBorder="1" applyAlignment="1">
      <alignment vertical="top"/>
    </xf>
    <xf numFmtId="0" fontId="2" fillId="0" borderId="1" xfId="1" applyFont="1" applyBorder="1" applyAlignment="1">
      <alignment vertical="top"/>
    </xf>
    <xf numFmtId="0" fontId="1" fillId="0" borderId="1" xfId="1" applyBorder="1" applyAlignment="1">
      <alignment horizontal="center" vertical="top"/>
    </xf>
    <xf numFmtId="4" fontId="1" fillId="0" borderId="1" xfId="1" applyNumberFormat="1" applyBorder="1" applyAlignment="1">
      <alignment vertical="top"/>
    </xf>
    <xf numFmtId="0" fontId="6" fillId="2" borderId="0" xfId="1" applyFont="1" applyFill="1" applyAlignment="1">
      <alignment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horizontal="center" vertical="top"/>
    </xf>
    <xf numFmtId="4" fontId="9" fillId="0" borderId="1" xfId="1" applyNumberFormat="1" applyFont="1" applyBorder="1" applyAlignment="1">
      <alignment vertical="top"/>
    </xf>
    <xf numFmtId="4" fontId="6" fillId="2" borderId="0" xfId="1" applyNumberFormat="1" applyFont="1" applyFill="1" applyAlignment="1">
      <alignment vertical="top"/>
    </xf>
    <xf numFmtId="0" fontId="10" fillId="2" borderId="2" xfId="1" applyFont="1" applyFill="1" applyBorder="1" applyAlignment="1">
      <alignment vertical="top"/>
    </xf>
    <xf numFmtId="0" fontId="7" fillId="0" borderId="2" xfId="1" applyFont="1" applyBorder="1" applyAlignment="1">
      <alignment vertical="top"/>
    </xf>
    <xf numFmtId="0" fontId="11" fillId="0" borderId="1" xfId="1" applyFont="1" applyBorder="1" applyAlignment="1">
      <alignment vertical="top"/>
    </xf>
    <xf numFmtId="0" fontId="9" fillId="2" borderId="1" xfId="1" applyFont="1" applyFill="1" applyBorder="1" applyAlignment="1">
      <alignment vertical="top"/>
    </xf>
    <xf numFmtId="0" fontId="9" fillId="2" borderId="1" xfId="1" applyFont="1" applyFill="1" applyBorder="1" applyAlignment="1">
      <alignment vertical="top" wrapText="1" shrinkToFit="1"/>
    </xf>
    <xf numFmtId="0" fontId="9" fillId="2" borderId="1" xfId="1" applyFont="1" applyFill="1" applyBorder="1" applyAlignment="1">
      <alignment horizontal="center" vertical="top"/>
    </xf>
    <xf numFmtId="4" fontId="9" fillId="2" borderId="1" xfId="1" applyNumberFormat="1" applyFont="1" applyFill="1" applyBorder="1" applyAlignment="1">
      <alignment vertical="top"/>
    </xf>
    <xf numFmtId="0" fontId="9" fillId="2" borderId="1" xfId="1" applyFont="1" applyFill="1" applyBorder="1" applyAlignment="1">
      <alignment vertical="top" shrinkToFit="1"/>
    </xf>
    <xf numFmtId="4" fontId="9" fillId="0" borderId="3" xfId="1" applyNumberFormat="1" applyFont="1" applyBorder="1" applyAlignment="1">
      <alignment vertical="top"/>
    </xf>
    <xf numFmtId="4" fontId="9" fillId="2" borderId="4" xfId="1" applyNumberFormat="1" applyFont="1" applyFill="1" applyBorder="1" applyAlignment="1">
      <alignment vertical="top"/>
    </xf>
    <xf numFmtId="0" fontId="2" fillId="3" borderId="0" xfId="1" applyFont="1" applyFill="1" applyAlignment="1">
      <alignment vertical="top"/>
    </xf>
    <xf numFmtId="0" fontId="2" fillId="3" borderId="0" xfId="1" applyFont="1" applyFill="1" applyAlignment="1">
      <alignment horizontal="center" vertical="top"/>
    </xf>
    <xf numFmtId="4" fontId="2" fillId="3" borderId="0" xfId="1" applyNumberFormat="1" applyFont="1" applyFill="1" applyAlignment="1">
      <alignment vertical="top"/>
    </xf>
    <xf numFmtId="4" fontId="3" fillId="2" borderId="0" xfId="1" applyNumberFormat="1" applyFont="1" applyFill="1" applyAlignment="1">
      <alignment horizontal="center" vertical="top"/>
    </xf>
    <xf numFmtId="4" fontId="6" fillId="0" borderId="0" xfId="1" applyNumberFormat="1" applyFont="1" applyAlignment="1">
      <alignment horizontal="center" vertical="top"/>
    </xf>
    <xf numFmtId="0" fontId="1" fillId="4" borderId="1" xfId="1" applyFill="1" applyBorder="1" applyAlignment="1">
      <alignment vertical="top"/>
    </xf>
    <xf numFmtId="0" fontId="1" fillId="4" borderId="1" xfId="1" applyFill="1" applyBorder="1" applyAlignment="1">
      <alignment vertical="top" wrapText="1"/>
    </xf>
    <xf numFmtId="0" fontId="1" fillId="4" borderId="1" xfId="1" applyFill="1" applyBorder="1" applyAlignment="1">
      <alignment horizontal="center" vertical="top"/>
    </xf>
    <xf numFmtId="0" fontId="1" fillId="4" borderId="4" xfId="1" applyFill="1" applyBorder="1" applyAlignment="1">
      <alignment horizontal="center" vertical="top"/>
    </xf>
    <xf numFmtId="4" fontId="1" fillId="4" borderId="4" xfId="1" applyNumberFormat="1" applyFill="1" applyBorder="1" applyAlignment="1">
      <alignment vertical="top"/>
    </xf>
    <xf numFmtId="4" fontId="1" fillId="4" borderId="1" xfId="1" applyNumberFormat="1" applyFill="1" applyBorder="1" applyAlignment="1">
      <alignment horizontal="center" vertical="top"/>
    </xf>
    <xf numFmtId="4" fontId="7" fillId="4" borderId="2" xfId="1" applyNumberFormat="1" applyFont="1" applyFill="1" applyBorder="1" applyAlignment="1">
      <alignment horizontal="center" vertical="top"/>
    </xf>
    <xf numFmtId="0" fontId="7" fillId="4" borderId="0" xfId="1" applyFont="1" applyFill="1" applyAlignment="1">
      <alignment horizontal="center" vertical="top"/>
    </xf>
    <xf numFmtId="0" fontId="1" fillId="2" borderId="0" xfId="1" applyFill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1" fillId="2" borderId="1" xfId="1" applyFill="1" applyBorder="1" applyAlignment="1">
      <alignment vertical="top" shrinkToFit="1"/>
    </xf>
    <xf numFmtId="0" fontId="1" fillId="2" borderId="1" xfId="1" applyFill="1" applyBorder="1" applyAlignment="1">
      <alignment vertical="top" wrapText="1" shrinkToFit="1"/>
    </xf>
    <xf numFmtId="3" fontId="1" fillId="2" borderId="1" xfId="1" applyNumberFormat="1" applyFill="1" applyBorder="1" applyAlignment="1">
      <alignment horizontal="center" vertical="top"/>
    </xf>
    <xf numFmtId="4" fontId="1" fillId="2" borderId="1" xfId="1" applyNumberFormat="1" applyFill="1" applyBorder="1" applyAlignment="1">
      <alignment vertical="top"/>
    </xf>
    <xf numFmtId="0" fontId="1" fillId="4" borderId="1" xfId="1" applyFill="1" applyBorder="1" applyAlignment="1">
      <alignment vertical="top" shrinkToFit="1"/>
    </xf>
    <xf numFmtId="4" fontId="1" fillId="4" borderId="1" xfId="1" applyNumberFormat="1" applyFill="1" applyBorder="1" applyAlignment="1">
      <alignment vertical="top"/>
    </xf>
    <xf numFmtId="4" fontId="1" fillId="2" borderId="0" xfId="1" applyNumberFormat="1" applyFill="1" applyAlignment="1">
      <alignment vertical="top" wrapText="1"/>
    </xf>
    <xf numFmtId="4" fontId="2" fillId="3" borderId="0" xfId="1" applyNumberFormat="1" applyFont="1" applyFill="1" applyAlignment="1">
      <alignment horizontal="left" vertical="top"/>
    </xf>
    <xf numFmtId="4" fontId="2" fillId="3" borderId="1" xfId="1" applyNumberFormat="1" applyFont="1" applyFill="1" applyBorder="1" applyAlignment="1">
      <alignment horizontal="center" vertical="top"/>
    </xf>
    <xf numFmtId="4" fontId="2" fillId="2" borderId="0" xfId="1" applyNumberFormat="1" applyFont="1" applyFill="1" applyAlignment="1">
      <alignment horizontal="right" vertical="top"/>
    </xf>
    <xf numFmtId="4" fontId="2" fillId="2" borderId="0" xfId="1" applyNumberFormat="1" applyFont="1" applyFill="1" applyAlignment="1">
      <alignment horizontal="center" vertical="top"/>
    </xf>
    <xf numFmtId="0" fontId="1" fillId="2" borderId="5" xfId="1" applyFill="1" applyBorder="1" applyAlignment="1">
      <alignment vertical="top"/>
    </xf>
    <xf numFmtId="0" fontId="1" fillId="2" borderId="5" xfId="1" applyFill="1" applyBorder="1" applyAlignment="1">
      <alignment horizontal="center" vertical="top"/>
    </xf>
    <xf numFmtId="4" fontId="1" fillId="2" borderId="5" xfId="1" applyNumberFormat="1" applyFill="1" applyBorder="1" applyAlignment="1">
      <alignment vertical="top"/>
    </xf>
    <xf numFmtId="0" fontId="6" fillId="2" borderId="5" xfId="1" applyFont="1" applyFill="1" applyBorder="1" applyAlignment="1">
      <alignment horizontal="center" vertical="top"/>
    </xf>
    <xf numFmtId="0" fontId="3" fillId="2" borderId="0" xfId="1" applyFont="1" applyFill="1" applyAlignment="1">
      <alignment vertical="top"/>
    </xf>
    <xf numFmtId="0" fontId="12" fillId="2" borderId="0" xfId="1" applyFont="1" applyFill="1" applyAlignment="1">
      <alignment vertical="top"/>
    </xf>
    <xf numFmtId="4" fontId="3" fillId="2" borderId="0" xfId="1" applyNumberFormat="1" applyFont="1" applyFill="1" applyAlignment="1">
      <alignment vertical="top"/>
    </xf>
    <xf numFmtId="0" fontId="13" fillId="2" borderId="0" xfId="1" applyFont="1" applyFill="1" applyAlignment="1">
      <alignment vertical="top"/>
    </xf>
    <xf numFmtId="0" fontId="3" fillId="0" borderId="0" xfId="1" applyFont="1" applyAlignment="1">
      <alignment vertical="top"/>
    </xf>
    <xf numFmtId="0" fontId="14" fillId="2" borderId="0" xfId="1" applyFont="1" applyFill="1" applyAlignment="1">
      <alignment horizontal="center" vertical="top" wrapText="1"/>
    </xf>
    <xf numFmtId="0" fontId="15" fillId="2" borderId="0" xfId="1" applyFont="1" applyFill="1" applyAlignment="1">
      <alignment vertical="top"/>
    </xf>
    <xf numFmtId="4" fontId="16" fillId="2" borderId="0" xfId="1" applyNumberFormat="1" applyFont="1" applyFill="1" applyAlignment="1">
      <alignment vertical="top"/>
    </xf>
    <xf numFmtId="4" fontId="17" fillId="2" borderId="0" xfId="1" applyNumberFormat="1" applyFont="1" applyFill="1" applyAlignment="1">
      <alignment vertical="top"/>
    </xf>
    <xf numFmtId="9" fontId="4" fillId="2" borderId="0" xfId="2" applyFont="1" applyFill="1" applyBorder="1" applyAlignment="1">
      <alignment vertical="top"/>
    </xf>
    <xf numFmtId="9" fontId="7" fillId="2" borderId="0" xfId="2" applyFont="1" applyFill="1" applyBorder="1" applyAlignment="1">
      <alignment vertical="top"/>
    </xf>
    <xf numFmtId="4" fontId="16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4" fontId="16" fillId="0" borderId="1" xfId="1" applyNumberFormat="1" applyFont="1" applyBorder="1" applyAlignment="1">
      <alignment vertical="top"/>
    </xf>
    <xf numFmtId="4" fontId="3" fillId="0" borderId="1" xfId="1" applyNumberFormat="1" applyFont="1" applyBorder="1" applyAlignment="1">
      <alignment vertical="top"/>
    </xf>
    <xf numFmtId="4" fontId="17" fillId="0" borderId="1" xfId="1" applyNumberFormat="1" applyFont="1" applyBorder="1" applyAlignment="1">
      <alignment vertical="top"/>
    </xf>
    <xf numFmtId="9" fontId="19" fillId="2" borderId="0" xfId="2" applyFont="1" applyFill="1" applyBorder="1" applyAlignment="1">
      <alignment vertical="top"/>
    </xf>
    <xf numFmtId="4" fontId="16" fillId="2" borderId="1" xfId="1" applyNumberFormat="1" applyFont="1" applyFill="1" applyBorder="1" applyAlignment="1">
      <alignment vertical="top"/>
    </xf>
    <xf numFmtId="4" fontId="3" fillId="2" borderId="1" xfId="1" applyNumberFormat="1" applyFont="1" applyFill="1" applyBorder="1" applyAlignment="1">
      <alignment vertical="top"/>
    </xf>
    <xf numFmtId="4" fontId="17" fillId="2" borderId="1" xfId="1" applyNumberFormat="1" applyFont="1" applyFill="1" applyBorder="1" applyAlignment="1">
      <alignment vertical="top"/>
    </xf>
    <xf numFmtId="0" fontId="2" fillId="3" borderId="1" xfId="1" applyFont="1" applyFill="1" applyBorder="1" applyAlignment="1">
      <alignment vertical="top"/>
    </xf>
    <xf numFmtId="4" fontId="16" fillId="3" borderId="1" xfId="1" applyNumberFormat="1" applyFont="1" applyFill="1" applyBorder="1" applyAlignment="1">
      <alignment vertical="top"/>
    </xf>
    <xf numFmtId="4" fontId="3" fillId="3" borderId="1" xfId="1" applyNumberFormat="1" applyFont="1" applyFill="1" applyBorder="1" applyAlignment="1">
      <alignment vertical="top"/>
    </xf>
    <xf numFmtId="4" fontId="17" fillId="3" borderId="1" xfId="1" applyNumberFormat="1" applyFont="1" applyFill="1" applyBorder="1" applyAlignment="1">
      <alignment vertical="top"/>
    </xf>
    <xf numFmtId="0" fontId="1" fillId="2" borderId="2" xfId="1" applyFill="1" applyBorder="1" applyAlignment="1">
      <alignment vertical="top" wrapText="1"/>
    </xf>
  </cellXfs>
  <cellStyles count="5">
    <cellStyle name="Гиперссылка 2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План22 - Факт23 - Прогноз24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890069991251093"/>
          <c:y val="0.13930555555555557"/>
          <c:w val="0.79665485564304461"/>
          <c:h val="0.34261811023622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'План-фактный анализ 2022-2023'!$D$3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'План-фактный анализ 2022-2023'!$C$4:$C$16</c:f>
              <c:strCache>
                <c:ptCount val="13"/>
                <c:pt idx="1">
                  <c:v>Фонд оплаты труда (с налогами)</c:v>
                </c:pt>
                <c:pt idx="2">
                  <c:v>Бухгалтерское обслуживание</c:v>
                </c:pt>
                <c:pt idx="3">
                  <c:v>Юрист</c:v>
                </c:pt>
                <c:pt idx="4">
                  <c:v>Инвентарь и расходные материалы </c:v>
                </c:pt>
                <c:pt idx="5">
                  <c:v>Работы по поселку</c:v>
                </c:pt>
                <c:pt idx="6">
                  <c:v>Благоустройство озера</c:v>
                </c:pt>
                <c:pt idx="7">
                  <c:v>Общее эл-во</c:v>
                </c:pt>
                <c:pt idx="8">
                  <c:v>Обслуживание КТП</c:v>
                </c:pt>
                <c:pt idx="9">
                  <c:v>Вывоз мусора </c:v>
                </c:pt>
                <c:pt idx="10">
                  <c:v>Материалы для ремонта дорог</c:v>
                </c:pt>
                <c:pt idx="11">
                  <c:v>Уборка снега</c:v>
                </c:pt>
                <c:pt idx="12">
                  <c:v>Прочее</c:v>
                </c:pt>
              </c:strCache>
            </c:strRef>
          </c:cat>
          <c:val>
            <c:numRef>
              <c:f>'План-фактный анализ 2022-2023'!$D$4:$D$16</c:f>
              <c:numCache>
                <c:formatCode>#,##0.00</c:formatCode>
                <c:ptCount val="13"/>
                <c:pt idx="1">
                  <c:v>1169712</c:v>
                </c:pt>
                <c:pt idx="2">
                  <c:v>120000</c:v>
                </c:pt>
                <c:pt idx="3">
                  <c:v>90000</c:v>
                </c:pt>
                <c:pt idx="4">
                  <c:v>160000</c:v>
                </c:pt>
                <c:pt idx="5">
                  <c:v>100000</c:v>
                </c:pt>
                <c:pt idx="6">
                  <c:v>100000</c:v>
                </c:pt>
                <c:pt idx="7">
                  <c:v>300000</c:v>
                </c:pt>
                <c:pt idx="8">
                  <c:v>30000</c:v>
                </c:pt>
                <c:pt idx="9">
                  <c:v>150000</c:v>
                </c:pt>
                <c:pt idx="10">
                  <c:v>100000</c:v>
                </c:pt>
                <c:pt idx="11">
                  <c:v>238500</c:v>
                </c:pt>
                <c:pt idx="12">
                  <c:v>37898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4F-468B-8952-110952874718}"/>
            </c:ext>
          </c:extLst>
        </c:ser>
        <c:ser>
          <c:idx val="1"/>
          <c:order val="1"/>
          <c:tx>
            <c:strRef>
              <c:f>'План-фактный анализ 2022-2023'!$E$3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'План-фактный анализ 2022-2023'!$C$4:$C$16</c:f>
              <c:strCache>
                <c:ptCount val="13"/>
                <c:pt idx="1">
                  <c:v>Фонд оплаты труда (с налогами)</c:v>
                </c:pt>
                <c:pt idx="2">
                  <c:v>Бухгалтерское обслуживание</c:v>
                </c:pt>
                <c:pt idx="3">
                  <c:v>Юрист</c:v>
                </c:pt>
                <c:pt idx="4">
                  <c:v>Инвентарь и расходные материалы </c:v>
                </c:pt>
                <c:pt idx="5">
                  <c:v>Работы по поселку</c:v>
                </c:pt>
                <c:pt idx="6">
                  <c:v>Благоустройство озера</c:v>
                </c:pt>
                <c:pt idx="7">
                  <c:v>Общее эл-во</c:v>
                </c:pt>
                <c:pt idx="8">
                  <c:v>Обслуживание КТП</c:v>
                </c:pt>
                <c:pt idx="9">
                  <c:v>Вывоз мусора </c:v>
                </c:pt>
                <c:pt idx="10">
                  <c:v>Материалы для ремонта дорог</c:v>
                </c:pt>
                <c:pt idx="11">
                  <c:v>Уборка снега</c:v>
                </c:pt>
                <c:pt idx="12">
                  <c:v>Прочее</c:v>
                </c:pt>
              </c:strCache>
            </c:strRef>
          </c:cat>
          <c:val>
            <c:numRef>
              <c:f>'План-фактный анализ 2022-2023'!$E$4:$E$16</c:f>
              <c:numCache>
                <c:formatCode>#,##0.00</c:formatCode>
                <c:ptCount val="13"/>
                <c:pt idx="1">
                  <c:v>906548.57000000007</c:v>
                </c:pt>
                <c:pt idx="2">
                  <c:v>145000</c:v>
                </c:pt>
                <c:pt idx="3">
                  <c:v>20000</c:v>
                </c:pt>
                <c:pt idx="4">
                  <c:v>193425.6</c:v>
                </c:pt>
                <c:pt idx="6">
                  <c:v>15720</c:v>
                </c:pt>
                <c:pt idx="7">
                  <c:v>316997.07999999996</c:v>
                </c:pt>
                <c:pt idx="8">
                  <c:v>26000</c:v>
                </c:pt>
                <c:pt idx="9">
                  <c:v>151985.91999999998</c:v>
                </c:pt>
                <c:pt idx="10">
                  <c:v>129200</c:v>
                </c:pt>
                <c:pt idx="11">
                  <c:v>198000</c:v>
                </c:pt>
                <c:pt idx="12">
                  <c:v>15733.360000000002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4F-468B-8952-110952874718}"/>
            </c:ext>
          </c:extLst>
        </c:ser>
        <c:ser>
          <c:idx val="2"/>
          <c:order val="2"/>
          <c:tx>
            <c:strRef>
              <c:f>'План-фактный анализ 2022-2023'!$F$3</c:f>
              <c:strCache>
                <c:ptCount val="1"/>
                <c:pt idx="0">
                  <c:v>Прогноз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'План-фактный анализ 2022-2023'!$C$4:$C$16</c:f>
              <c:strCache>
                <c:ptCount val="13"/>
                <c:pt idx="1">
                  <c:v>Фонд оплаты труда (с налогами)</c:v>
                </c:pt>
                <c:pt idx="2">
                  <c:v>Бухгалтерское обслуживание</c:v>
                </c:pt>
                <c:pt idx="3">
                  <c:v>Юрист</c:v>
                </c:pt>
                <c:pt idx="4">
                  <c:v>Инвентарь и расходные материалы </c:v>
                </c:pt>
                <c:pt idx="5">
                  <c:v>Работы по поселку</c:v>
                </c:pt>
                <c:pt idx="6">
                  <c:v>Благоустройство озера</c:v>
                </c:pt>
                <c:pt idx="7">
                  <c:v>Общее эл-во</c:v>
                </c:pt>
                <c:pt idx="8">
                  <c:v>Обслуживание КТП</c:v>
                </c:pt>
                <c:pt idx="9">
                  <c:v>Вывоз мусора </c:v>
                </c:pt>
                <c:pt idx="10">
                  <c:v>Материалы для ремонта дорог</c:v>
                </c:pt>
                <c:pt idx="11">
                  <c:v>Уборка снега</c:v>
                </c:pt>
                <c:pt idx="12">
                  <c:v>Прочее</c:v>
                </c:pt>
              </c:strCache>
            </c:strRef>
          </c:cat>
          <c:val>
            <c:numRef>
              <c:f>'План-фактный анализ 2022-2023'!$F$4:$F$16</c:f>
              <c:numCache>
                <c:formatCode>#,##0.00</c:formatCode>
                <c:ptCount val="13"/>
                <c:pt idx="1">
                  <c:v>1169712</c:v>
                </c:pt>
                <c:pt idx="2">
                  <c:v>130000</c:v>
                </c:pt>
                <c:pt idx="3">
                  <c:v>100000</c:v>
                </c:pt>
                <c:pt idx="4">
                  <c:v>120000</c:v>
                </c:pt>
                <c:pt idx="5">
                  <c:v>220000</c:v>
                </c:pt>
                <c:pt idx="6">
                  <c:v>100000</c:v>
                </c:pt>
                <c:pt idx="7">
                  <c:v>180000</c:v>
                </c:pt>
                <c:pt idx="9">
                  <c:v>150000</c:v>
                </c:pt>
                <c:pt idx="10">
                  <c:v>200000</c:v>
                </c:pt>
                <c:pt idx="11">
                  <c:v>250000</c:v>
                </c:pt>
                <c:pt idx="12">
                  <c:v>37898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4F-468B-8952-110952874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890688"/>
        <c:axId val="225892224"/>
      </c:barChart>
      <c:catAx>
        <c:axId val="2258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5892224"/>
        <c:crosses val="autoZero"/>
        <c:auto val="1"/>
        <c:lblAlgn val="ctr"/>
        <c:lblOffset val="100"/>
        <c:noMultiLvlLbl val="0"/>
      </c:catAx>
      <c:valAx>
        <c:axId val="22589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589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portrait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19</xdr:row>
      <xdr:rowOff>167640</xdr:rowOff>
    </xdr:from>
    <xdr:to>
      <xdr:col>6</xdr:col>
      <xdr:colOff>0</xdr:colOff>
      <xdr:row>52</xdr:row>
      <xdr:rowOff>175260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EF49897-417F-48D1-BEBA-2A342C558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9;&#1076;&#1086;&#1083;&#1100;&#1077;/C&#1084;&#1077;&#1090;&#1099;/&#1040;&#1085;&#1072;&#1083;&#1080;&#1079;%20&#1088;&#1072;&#1089;&#1093;&#1086;&#1076;&#1086;&#1074;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фактный анализ 2022-2023"/>
      <sheetName val="Смета 2022-23"/>
      <sheetName val="май-август"/>
      <sheetName val="сентябрь-апрель"/>
      <sheetName val="Смета 2023-24"/>
    </sheetNames>
    <sheetDataSet>
      <sheetData sheetId="0" refreshError="1"/>
      <sheetData sheetId="1" refreshError="1">
        <row r="8">
          <cell r="G8">
            <v>120000</v>
          </cell>
          <cell r="J8">
            <v>120000</v>
          </cell>
        </row>
        <row r="9">
          <cell r="G9">
            <v>763200</v>
          </cell>
          <cell r="J9">
            <v>0</v>
          </cell>
        </row>
        <row r="10">
          <cell r="G10">
            <v>54000</v>
          </cell>
          <cell r="J10">
            <v>305260</v>
          </cell>
        </row>
        <row r="11">
          <cell r="G11">
            <v>54000</v>
          </cell>
          <cell r="J11">
            <v>301426</v>
          </cell>
        </row>
        <row r="12">
          <cell r="G12">
            <v>63600</v>
          </cell>
          <cell r="J12">
            <v>63600</v>
          </cell>
        </row>
        <row r="14">
          <cell r="G14">
            <v>114912</v>
          </cell>
          <cell r="J14">
            <v>116262.57</v>
          </cell>
        </row>
        <row r="15">
          <cell r="G15">
            <v>120000</v>
          </cell>
          <cell r="J15">
            <v>145000</v>
          </cell>
        </row>
        <row r="17">
          <cell r="G17">
            <v>4000</v>
          </cell>
        </row>
        <row r="18">
          <cell r="G18">
            <v>13200</v>
          </cell>
          <cell r="J18">
            <v>8536.3600000000024</v>
          </cell>
        </row>
        <row r="19">
          <cell r="G19">
            <v>1098</v>
          </cell>
          <cell r="J19">
            <v>2697</v>
          </cell>
        </row>
        <row r="20">
          <cell r="G20">
            <v>90000</v>
          </cell>
          <cell r="J20">
            <v>20000</v>
          </cell>
        </row>
        <row r="21">
          <cell r="G21">
            <v>120000</v>
          </cell>
          <cell r="J21">
            <v>174491.6</v>
          </cell>
        </row>
        <row r="22">
          <cell r="G22">
            <v>30000</v>
          </cell>
          <cell r="J22">
            <v>26000</v>
          </cell>
        </row>
        <row r="23">
          <cell r="G23">
            <v>240000</v>
          </cell>
          <cell r="J23">
            <v>316997.07999999996</v>
          </cell>
        </row>
        <row r="24">
          <cell r="G24">
            <v>60000</v>
          </cell>
        </row>
        <row r="25">
          <cell r="G25">
            <v>150000</v>
          </cell>
          <cell r="J25">
            <v>151985.91999999998</v>
          </cell>
        </row>
        <row r="26">
          <cell r="G26">
            <v>9600</v>
          </cell>
          <cell r="J26">
            <v>4500</v>
          </cell>
        </row>
        <row r="33">
          <cell r="G33">
            <v>20000</v>
          </cell>
          <cell r="J33">
            <v>18934</v>
          </cell>
        </row>
        <row r="34">
          <cell r="G34">
            <v>10000</v>
          </cell>
        </row>
        <row r="37">
          <cell r="G37">
            <v>238500</v>
          </cell>
          <cell r="J37">
            <v>198000</v>
          </cell>
        </row>
        <row r="38">
          <cell r="G38">
            <v>100000</v>
          </cell>
          <cell r="J38">
            <v>129200</v>
          </cell>
        </row>
        <row r="39">
          <cell r="G39">
            <v>50000</v>
          </cell>
          <cell r="J39">
            <v>15720</v>
          </cell>
        </row>
        <row r="40">
          <cell r="G40">
            <v>50000</v>
          </cell>
        </row>
        <row r="41">
          <cell r="G41">
            <v>10000</v>
          </cell>
        </row>
        <row r="42">
          <cell r="G42">
            <v>50000</v>
          </cell>
        </row>
        <row r="43">
          <cell r="G43">
            <v>50000</v>
          </cell>
        </row>
        <row r="44">
          <cell r="G44">
            <v>10000</v>
          </cell>
        </row>
      </sheetData>
      <sheetData sheetId="2" refreshError="1"/>
      <sheetData sheetId="3" refreshError="1"/>
      <sheetData sheetId="4" refreshError="1">
        <row r="8">
          <cell r="H8">
            <v>120000</v>
          </cell>
        </row>
        <row r="9">
          <cell r="H9">
            <v>240000</v>
          </cell>
        </row>
        <row r="10">
          <cell r="H10">
            <v>294000</v>
          </cell>
        </row>
        <row r="11">
          <cell r="H11">
            <v>294000</v>
          </cell>
        </row>
        <row r="12">
          <cell r="H12">
            <v>60000</v>
          </cell>
        </row>
        <row r="13">
          <cell r="H13">
            <v>161712</v>
          </cell>
        </row>
        <row r="14">
          <cell r="H14">
            <v>120000</v>
          </cell>
        </row>
        <row r="15">
          <cell r="H15">
            <v>10000</v>
          </cell>
        </row>
        <row r="16">
          <cell r="H16">
            <v>4000</v>
          </cell>
        </row>
        <row r="17">
          <cell r="H17">
            <v>13200</v>
          </cell>
        </row>
        <row r="18">
          <cell r="H18">
            <v>1098</v>
          </cell>
        </row>
        <row r="19">
          <cell r="H19">
            <v>100000</v>
          </cell>
        </row>
        <row r="20">
          <cell r="H20">
            <v>120000</v>
          </cell>
        </row>
        <row r="21">
          <cell r="H21">
            <v>120000</v>
          </cell>
        </row>
        <row r="22">
          <cell r="H22">
            <v>120000</v>
          </cell>
        </row>
        <row r="23">
          <cell r="H23">
            <v>60000</v>
          </cell>
        </row>
        <row r="24">
          <cell r="H24">
            <v>150000</v>
          </cell>
        </row>
        <row r="25">
          <cell r="H25">
            <v>9600</v>
          </cell>
        </row>
        <row r="36">
          <cell r="H36">
            <v>250000</v>
          </cell>
        </row>
        <row r="37">
          <cell r="H37">
            <v>200000</v>
          </cell>
        </row>
        <row r="38">
          <cell r="H38">
            <v>50000</v>
          </cell>
        </row>
        <row r="39">
          <cell r="H39">
            <v>50000</v>
          </cell>
        </row>
        <row r="41">
          <cell r="H41">
            <v>50000</v>
          </cell>
        </row>
        <row r="42">
          <cell r="H42">
            <v>50000</v>
          </cell>
        </row>
        <row r="43">
          <cell r="H43">
            <v>10000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BM50"/>
  <sheetViews>
    <sheetView tabSelected="1" zoomScaleNormal="100" workbookViewId="0">
      <selection activeCell="F38" sqref="F38"/>
    </sheetView>
  </sheetViews>
  <sheetFormatPr defaultColWidth="11.5703125" defaultRowHeight="15" x14ac:dyDescent="0.25"/>
  <cols>
    <col min="1" max="1" width="6.140625" style="7" customWidth="1"/>
    <col min="2" max="2" width="3.140625" style="7" customWidth="1"/>
    <col min="3" max="3" width="48.7109375" style="7" customWidth="1"/>
    <col min="4" max="4" width="11.42578125" style="9" customWidth="1"/>
    <col min="5" max="5" width="13.28515625" style="9" customWidth="1"/>
    <col min="6" max="7" width="16.140625" style="7" customWidth="1"/>
    <col min="8" max="8" width="16.140625" style="10" customWidth="1"/>
    <col min="9" max="9" width="3.28515625" style="7" customWidth="1"/>
    <col min="10" max="10" width="16.140625" style="11" customWidth="1"/>
    <col min="11" max="11" width="3.28515625" style="7" customWidth="1"/>
    <col min="12" max="12" width="11.42578125" style="12" customWidth="1"/>
    <col min="13" max="65" width="11.42578125" style="7" customWidth="1"/>
    <col min="66" max="16384" width="11.5703125" style="13"/>
  </cols>
  <sheetData>
    <row r="3" spans="1:65" s="74" customFormat="1" ht="21" x14ac:dyDescent="0.25">
      <c r="A3" s="70"/>
      <c r="B3" s="71" t="s">
        <v>0</v>
      </c>
      <c r="C3" s="70"/>
      <c r="D3" s="4"/>
      <c r="E3" s="4"/>
      <c r="F3" s="70"/>
      <c r="G3" s="70"/>
      <c r="H3" s="72"/>
      <c r="I3" s="70"/>
      <c r="K3" s="70"/>
      <c r="L3" s="73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</row>
    <row r="4" spans="1:65" ht="21" x14ac:dyDescent="0.3">
      <c r="B4" s="8"/>
    </row>
    <row r="5" spans="1:65" s="6" customFormat="1" ht="18.75" x14ac:dyDescent="0.25">
      <c r="A5" s="1"/>
      <c r="B5" s="14" t="s">
        <v>1</v>
      </c>
      <c r="C5" s="14"/>
      <c r="D5" s="2"/>
      <c r="E5" s="2"/>
      <c r="F5" s="1"/>
      <c r="G5" s="1"/>
      <c r="H5" s="3"/>
      <c r="I5" s="1"/>
      <c r="J5" s="4"/>
      <c r="K5" s="1"/>
      <c r="L5" s="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48" customHeight="1" x14ac:dyDescent="0.25">
      <c r="B6" s="15" t="s">
        <v>2</v>
      </c>
      <c r="C6" s="15" t="s">
        <v>3</v>
      </c>
      <c r="D6" s="16" t="s">
        <v>4</v>
      </c>
      <c r="E6" s="17" t="s">
        <v>5</v>
      </c>
      <c r="F6" s="16" t="s">
        <v>6</v>
      </c>
      <c r="G6" s="16" t="s">
        <v>6</v>
      </c>
      <c r="H6" s="18" t="s">
        <v>7</v>
      </c>
      <c r="I6" s="9"/>
      <c r="J6" s="75" t="s">
        <v>52</v>
      </c>
      <c r="L6" s="20"/>
    </row>
    <row r="7" spans="1:65" x14ac:dyDescent="0.25">
      <c r="B7" s="21"/>
      <c r="C7" s="22" t="s">
        <v>8</v>
      </c>
      <c r="D7" s="23"/>
      <c r="E7" s="23"/>
      <c r="F7" s="21"/>
      <c r="G7" s="21"/>
      <c r="H7" s="24"/>
      <c r="J7" s="19"/>
      <c r="L7" s="20"/>
    </row>
    <row r="8" spans="1:65" s="25" customFormat="1" x14ac:dyDescent="0.25">
      <c r="B8" s="26">
        <v>1</v>
      </c>
      <c r="C8" s="26" t="s">
        <v>9</v>
      </c>
      <c r="D8" s="27" t="s">
        <v>10</v>
      </c>
      <c r="E8" s="27">
        <v>12</v>
      </c>
      <c r="F8" s="28">
        <v>10000</v>
      </c>
      <c r="G8" s="28"/>
      <c r="H8" s="28">
        <f>F8 *E8</f>
        <v>120000</v>
      </c>
      <c r="I8" s="29"/>
      <c r="J8" s="19"/>
      <c r="L8" s="30"/>
    </row>
    <row r="9" spans="1:65" x14ac:dyDescent="0.25">
      <c r="B9" s="26">
        <v>2</v>
      </c>
      <c r="C9" s="26" t="s">
        <v>11</v>
      </c>
      <c r="D9" s="27" t="s">
        <v>10</v>
      </c>
      <c r="E9" s="27">
        <v>12</v>
      </c>
      <c r="F9" s="28"/>
      <c r="G9" s="28">
        <f>20000</f>
        <v>20000</v>
      </c>
      <c r="H9" s="28">
        <f>G9*E9</f>
        <v>240000</v>
      </c>
      <c r="I9" s="10"/>
      <c r="L9" s="31"/>
    </row>
    <row r="10" spans="1:65" x14ac:dyDescent="0.25">
      <c r="B10" s="26">
        <v>3</v>
      </c>
      <c r="C10" s="26" t="s">
        <v>12</v>
      </c>
      <c r="D10" s="27" t="s">
        <v>10</v>
      </c>
      <c r="E10" s="27">
        <v>12</v>
      </c>
      <c r="F10" s="28">
        <v>4500</v>
      </c>
      <c r="G10" s="28">
        <f>20500</f>
        <v>20500</v>
      </c>
      <c r="H10" s="28">
        <f t="shared" ref="H10:H11" si="0">E10*(F10+G10)</f>
        <v>300000</v>
      </c>
      <c r="I10" s="10"/>
      <c r="L10" s="20"/>
    </row>
    <row r="11" spans="1:65" x14ac:dyDescent="0.25">
      <c r="B11" s="26">
        <v>4</v>
      </c>
      <c r="C11" s="26" t="s">
        <v>13</v>
      </c>
      <c r="D11" s="27" t="s">
        <v>10</v>
      </c>
      <c r="E11" s="27">
        <v>12</v>
      </c>
      <c r="F11" s="28">
        <v>4500</v>
      </c>
      <c r="G11" s="28">
        <f>20500</f>
        <v>20500</v>
      </c>
      <c r="H11" s="28">
        <f t="shared" si="0"/>
        <v>300000</v>
      </c>
      <c r="I11" s="10"/>
      <c r="L11" s="20"/>
    </row>
    <row r="12" spans="1:65" x14ac:dyDescent="0.25">
      <c r="B12" s="26">
        <v>5</v>
      </c>
      <c r="C12" s="26" t="s">
        <v>14</v>
      </c>
      <c r="D12" s="27" t="s">
        <v>10</v>
      </c>
      <c r="E12" s="27">
        <v>12</v>
      </c>
      <c r="F12" s="28"/>
      <c r="G12" s="28">
        <v>5000</v>
      </c>
      <c r="H12" s="28">
        <f>G12 *E12</f>
        <v>60000</v>
      </c>
      <c r="I12" s="10"/>
      <c r="L12" s="20"/>
    </row>
    <row r="13" spans="1:65" x14ac:dyDescent="0.25">
      <c r="B13" s="26">
        <v>6</v>
      </c>
      <c r="C13" s="32" t="s">
        <v>15</v>
      </c>
      <c r="D13" s="27" t="s">
        <v>10</v>
      </c>
      <c r="E13" s="27">
        <v>12</v>
      </c>
      <c r="F13" s="28">
        <f>(F8+F10+F11)/100*50.4</f>
        <v>9576</v>
      </c>
      <c r="G13" s="28">
        <f>SUM(G8:G12)*0.06</f>
        <v>3960</v>
      </c>
      <c r="H13" s="28">
        <f>E13*(F13+G13)</f>
        <v>162432</v>
      </c>
      <c r="L13" s="20" t="s">
        <v>16</v>
      </c>
    </row>
    <row r="14" spans="1:65" x14ac:dyDescent="0.25">
      <c r="B14" s="26">
        <v>8</v>
      </c>
      <c r="C14" s="26" t="s">
        <v>17</v>
      </c>
      <c r="D14" s="27" t="s">
        <v>10</v>
      </c>
      <c r="E14" s="27">
        <v>12</v>
      </c>
      <c r="F14" s="28">
        <v>10000</v>
      </c>
      <c r="G14" s="28"/>
      <c r="H14" s="28">
        <f t="shared" ref="H14:H20" si="1">F14 *E14</f>
        <v>120000</v>
      </c>
      <c r="I14" s="10"/>
      <c r="L14" s="20"/>
    </row>
    <row r="15" spans="1:65" s="25" customFormat="1" ht="12" customHeight="1" x14ac:dyDescent="0.25">
      <c r="B15" s="26">
        <v>9</v>
      </c>
      <c r="C15" s="26" t="s">
        <v>18</v>
      </c>
      <c r="D15" s="27" t="s">
        <v>19</v>
      </c>
      <c r="E15" s="27">
        <v>1</v>
      </c>
      <c r="F15" s="28">
        <v>10000</v>
      </c>
      <c r="G15" s="28"/>
      <c r="H15" s="28">
        <f t="shared" si="1"/>
        <v>10000</v>
      </c>
      <c r="I15" s="29"/>
      <c r="J15" s="11"/>
      <c r="L15" s="30"/>
    </row>
    <row r="16" spans="1:65" ht="12" customHeight="1" x14ac:dyDescent="0.25">
      <c r="B16" s="26">
        <v>10</v>
      </c>
      <c r="C16" s="26" t="s">
        <v>20</v>
      </c>
      <c r="D16" s="27" t="s">
        <v>19</v>
      </c>
      <c r="E16" s="27">
        <v>1</v>
      </c>
      <c r="F16" s="28">
        <v>4000</v>
      </c>
      <c r="G16" s="28"/>
      <c r="H16" s="28">
        <f t="shared" si="1"/>
        <v>4000</v>
      </c>
      <c r="I16" s="10"/>
      <c r="L16" s="20"/>
    </row>
    <row r="17" spans="1:65" x14ac:dyDescent="0.25">
      <c r="B17" s="26">
        <v>11</v>
      </c>
      <c r="C17" s="26" t="s">
        <v>21</v>
      </c>
      <c r="D17" s="27" t="s">
        <v>22</v>
      </c>
      <c r="E17" s="27">
        <v>12</v>
      </c>
      <c r="F17" s="28">
        <v>1100</v>
      </c>
      <c r="G17" s="28"/>
      <c r="H17" s="28">
        <f t="shared" si="1"/>
        <v>13200</v>
      </c>
      <c r="I17" s="10"/>
      <c r="L17" s="20"/>
    </row>
    <row r="18" spans="1:65" x14ac:dyDescent="0.25">
      <c r="B18" s="26">
        <v>12</v>
      </c>
      <c r="C18" s="26" t="s">
        <v>23</v>
      </c>
      <c r="D18" s="27" t="s">
        <v>19</v>
      </c>
      <c r="E18" s="27">
        <v>1</v>
      </c>
      <c r="F18" s="28">
        <v>1098</v>
      </c>
      <c r="G18" s="28"/>
      <c r="H18" s="28">
        <f t="shared" si="1"/>
        <v>1098</v>
      </c>
      <c r="I18" s="10"/>
      <c r="L18" s="20"/>
    </row>
    <row r="19" spans="1:65" x14ac:dyDescent="0.25">
      <c r="B19" s="26">
        <v>13</v>
      </c>
      <c r="C19" s="26" t="s">
        <v>24</v>
      </c>
      <c r="D19" s="27" t="s">
        <v>19</v>
      </c>
      <c r="E19" s="27">
        <v>1</v>
      </c>
      <c r="F19" s="28">
        <v>100000</v>
      </c>
      <c r="G19" s="28"/>
      <c r="H19" s="28">
        <f t="shared" si="1"/>
        <v>100000</v>
      </c>
      <c r="I19" s="10"/>
      <c r="L19" s="20"/>
    </row>
    <row r="20" spans="1:65" ht="29.45" customHeight="1" x14ac:dyDescent="0.25">
      <c r="B20" s="33">
        <v>14</v>
      </c>
      <c r="C20" s="34" t="s">
        <v>25</v>
      </c>
      <c r="D20" s="35" t="s">
        <v>22</v>
      </c>
      <c r="E20" s="35">
        <v>12</v>
      </c>
      <c r="F20" s="36">
        <v>10000</v>
      </c>
      <c r="G20" s="36"/>
      <c r="H20" s="28">
        <f t="shared" si="1"/>
        <v>120000</v>
      </c>
      <c r="I20" s="10"/>
      <c r="L20" s="95"/>
      <c r="M20" s="95"/>
      <c r="N20" s="95"/>
      <c r="O20" s="95"/>
      <c r="P20" s="95"/>
    </row>
    <row r="21" spans="1:65" x14ac:dyDescent="0.25">
      <c r="B21" s="33">
        <v>15</v>
      </c>
      <c r="C21" s="37" t="s">
        <v>26</v>
      </c>
      <c r="D21" s="35" t="s">
        <v>22</v>
      </c>
      <c r="E21" s="35">
        <v>12</v>
      </c>
      <c r="F21" s="28">
        <v>10000</v>
      </c>
      <c r="G21" s="36"/>
      <c r="H21" s="28">
        <f>E21*F21</f>
        <v>120000</v>
      </c>
      <c r="I21" s="10"/>
      <c r="L21" s="20"/>
    </row>
    <row r="22" spans="1:65" ht="15.6" customHeight="1" x14ac:dyDescent="0.25">
      <c r="B22" s="33">
        <v>16</v>
      </c>
      <c r="C22" s="37" t="s">
        <v>27</v>
      </c>
      <c r="D22" s="35" t="s">
        <v>22</v>
      </c>
      <c r="E22" s="35">
        <v>12</v>
      </c>
      <c r="F22" s="28">
        <v>10000</v>
      </c>
      <c r="G22" s="38"/>
      <c r="H22" s="38">
        <f>F22 *E22</f>
        <v>120000</v>
      </c>
      <c r="I22" s="10"/>
      <c r="L22" s="20"/>
    </row>
    <row r="23" spans="1:65" ht="15.6" customHeight="1" x14ac:dyDescent="0.25">
      <c r="B23" s="33">
        <v>17</v>
      </c>
      <c r="C23" s="37" t="s">
        <v>28</v>
      </c>
      <c r="D23" s="35" t="s">
        <v>22</v>
      </c>
      <c r="E23" s="35">
        <v>12</v>
      </c>
      <c r="F23" s="28">
        <v>5000</v>
      </c>
      <c r="G23" s="38"/>
      <c r="H23" s="38">
        <f>F23 *E23</f>
        <v>60000</v>
      </c>
      <c r="I23" s="10"/>
      <c r="L23" s="20"/>
    </row>
    <row r="24" spans="1:65" x14ac:dyDescent="0.25">
      <c r="B24" s="33">
        <v>18</v>
      </c>
      <c r="C24" s="37" t="s">
        <v>29</v>
      </c>
      <c r="D24" s="35" t="s">
        <v>19</v>
      </c>
      <c r="E24" s="35">
        <v>1</v>
      </c>
      <c r="F24" s="39">
        <v>150000</v>
      </c>
      <c r="G24" s="39"/>
      <c r="H24" s="28">
        <f>E24*F24</f>
        <v>150000</v>
      </c>
      <c r="I24" s="10"/>
      <c r="L24" s="20"/>
    </row>
    <row r="25" spans="1:65" x14ac:dyDescent="0.25">
      <c r="B25" s="33">
        <v>19</v>
      </c>
      <c r="C25" s="33" t="s">
        <v>30</v>
      </c>
      <c r="D25" s="35" t="s">
        <v>22</v>
      </c>
      <c r="E25" s="35">
        <v>12</v>
      </c>
      <c r="F25" s="36">
        <v>800</v>
      </c>
      <c r="G25" s="36"/>
      <c r="H25" s="28">
        <f>E25*F25</f>
        <v>9600</v>
      </c>
      <c r="L25" s="20"/>
    </row>
    <row r="26" spans="1:65" ht="12" customHeight="1" x14ac:dyDescent="0.3">
      <c r="I26" s="10"/>
    </row>
    <row r="27" spans="1:65" s="6" customFormat="1" ht="15.6" customHeight="1" x14ac:dyDescent="0.25">
      <c r="A27" s="1"/>
      <c r="B27" s="40" t="s">
        <v>31</v>
      </c>
      <c r="C27" s="40"/>
      <c r="D27" s="41"/>
      <c r="E27" s="41"/>
      <c r="F27" s="40"/>
      <c r="G27" s="40"/>
      <c r="H27" s="42">
        <f>SUM(H8:H25)</f>
        <v>2010330</v>
      </c>
      <c r="I27" s="3"/>
      <c r="J27" s="43">
        <v>2007610</v>
      </c>
      <c r="K27" s="1"/>
      <c r="L27" s="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ht="12" customHeight="1" x14ac:dyDescent="0.3">
      <c r="J28" s="44"/>
    </row>
    <row r="29" spans="1:65" ht="1.1499999999999999" customHeight="1" x14ac:dyDescent="0.3"/>
    <row r="30" spans="1:65" s="6" customFormat="1" ht="16.899999999999999" customHeight="1" x14ac:dyDescent="0.25">
      <c r="A30" s="1"/>
      <c r="B30" s="14" t="s">
        <v>32</v>
      </c>
      <c r="C30" s="14"/>
      <c r="D30" s="2"/>
      <c r="E30" s="2"/>
      <c r="F30" s="1"/>
      <c r="G30" s="1"/>
      <c r="H30" s="3"/>
      <c r="I30" s="1"/>
      <c r="J30" s="4"/>
      <c r="K30" s="1"/>
      <c r="L30" s="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ht="45" customHeight="1" x14ac:dyDescent="0.25">
      <c r="B31" s="15" t="s">
        <v>2</v>
      </c>
      <c r="C31" s="15" t="s">
        <v>3</v>
      </c>
      <c r="D31" s="16" t="s">
        <v>4</v>
      </c>
      <c r="E31" s="17" t="s">
        <v>5</v>
      </c>
      <c r="F31" s="16" t="s">
        <v>33</v>
      </c>
      <c r="G31" s="16"/>
      <c r="H31" s="18" t="s">
        <v>34</v>
      </c>
      <c r="I31" s="10"/>
      <c r="L31" s="20"/>
    </row>
    <row r="32" spans="1:65" ht="27.2" customHeight="1" x14ac:dyDescent="0.25">
      <c r="B32" s="45">
        <v>1</v>
      </c>
      <c r="C32" s="46" t="s">
        <v>35</v>
      </c>
      <c r="D32" s="47"/>
      <c r="E32" s="48"/>
      <c r="F32" s="49"/>
      <c r="G32" s="49"/>
      <c r="H32" s="50">
        <f t="shared" ref="H32:H43" si="2">E32*F32</f>
        <v>0</v>
      </c>
      <c r="I32" s="10"/>
      <c r="L32" s="51">
        <v>125000</v>
      </c>
      <c r="M32" s="52" t="s">
        <v>36</v>
      </c>
      <c r="N32" s="53"/>
      <c r="O32" s="53"/>
      <c r="P32" s="53"/>
      <c r="Q32" s="53"/>
    </row>
    <row r="33" spans="1:65" ht="27.2" customHeight="1" x14ac:dyDescent="0.25">
      <c r="B33" s="45">
        <v>2</v>
      </c>
      <c r="C33" s="46" t="s">
        <v>37</v>
      </c>
      <c r="D33" s="47"/>
      <c r="E33" s="48"/>
      <c r="F33" s="49"/>
      <c r="G33" s="49"/>
      <c r="H33" s="50">
        <f t="shared" si="2"/>
        <v>0</v>
      </c>
      <c r="I33" s="10"/>
      <c r="L33" s="51">
        <v>250000</v>
      </c>
      <c r="M33" s="52" t="s">
        <v>36</v>
      </c>
      <c r="N33" s="53"/>
      <c r="O33" s="53"/>
      <c r="P33" s="53"/>
      <c r="Q33" s="53"/>
    </row>
    <row r="34" spans="1:65" ht="27.2" customHeight="1" x14ac:dyDescent="0.25">
      <c r="B34" s="45">
        <v>3</v>
      </c>
      <c r="C34" s="46" t="s">
        <v>38</v>
      </c>
      <c r="D34" s="47"/>
      <c r="E34" s="48"/>
      <c r="F34" s="49"/>
      <c r="G34" s="49"/>
      <c r="H34" s="50">
        <f t="shared" si="2"/>
        <v>0</v>
      </c>
      <c r="I34" s="10"/>
      <c r="L34" s="54"/>
      <c r="M34" s="53"/>
      <c r="N34" s="53"/>
      <c r="O34" s="53"/>
      <c r="P34" s="53"/>
      <c r="Q34" s="53"/>
    </row>
    <row r="35" spans="1:65" ht="21" customHeight="1" x14ac:dyDescent="0.25">
      <c r="B35" s="45">
        <v>4</v>
      </c>
      <c r="C35" s="46" t="s">
        <v>39</v>
      </c>
      <c r="D35" s="47"/>
      <c r="E35" s="48"/>
      <c r="F35" s="49"/>
      <c r="G35" s="49"/>
      <c r="H35" s="50">
        <f t="shared" si="2"/>
        <v>0</v>
      </c>
      <c r="I35" s="10"/>
      <c r="L35" s="54"/>
      <c r="M35" s="53"/>
      <c r="N35" s="53"/>
      <c r="O35" s="53"/>
      <c r="P35" s="53"/>
      <c r="Q35" s="53"/>
    </row>
    <row r="36" spans="1:65" ht="27" customHeight="1" x14ac:dyDescent="0.25">
      <c r="B36" s="15">
        <v>5</v>
      </c>
      <c r="C36" s="55" t="s">
        <v>40</v>
      </c>
      <c r="D36" s="16" t="s">
        <v>41</v>
      </c>
      <c r="E36" s="16">
        <v>5</v>
      </c>
      <c r="F36" s="24">
        <v>50000</v>
      </c>
      <c r="G36" s="24"/>
      <c r="H36" s="18">
        <f t="shared" si="2"/>
        <v>250000</v>
      </c>
      <c r="I36" s="10"/>
      <c r="L36" s="20"/>
    </row>
    <row r="37" spans="1:65" ht="27" customHeight="1" x14ac:dyDescent="0.25">
      <c r="B37" s="15">
        <v>6</v>
      </c>
      <c r="C37" s="55" t="s">
        <v>68</v>
      </c>
      <c r="D37" s="16" t="s">
        <v>42</v>
      </c>
      <c r="E37" s="16">
        <v>1</v>
      </c>
      <c r="F37" s="24">
        <v>100000</v>
      </c>
      <c r="G37" s="24"/>
      <c r="H37" s="18">
        <f t="shared" si="2"/>
        <v>100000</v>
      </c>
      <c r="I37" s="10"/>
      <c r="L37" s="20"/>
    </row>
    <row r="38" spans="1:65" ht="31.15" customHeight="1" x14ac:dyDescent="0.25">
      <c r="B38" s="15">
        <v>7</v>
      </c>
      <c r="C38" s="56" t="s">
        <v>43</v>
      </c>
      <c r="D38" s="16" t="s">
        <v>42</v>
      </c>
      <c r="E38" s="57">
        <v>1</v>
      </c>
      <c r="F38" s="58">
        <v>50000</v>
      </c>
      <c r="G38" s="58"/>
      <c r="H38" s="18">
        <f t="shared" si="2"/>
        <v>50000</v>
      </c>
      <c r="I38" s="10"/>
      <c r="L38" s="20"/>
    </row>
    <row r="39" spans="1:65" ht="24" customHeight="1" x14ac:dyDescent="0.25">
      <c r="B39" s="15">
        <v>8</v>
      </c>
      <c r="C39" s="56" t="s">
        <v>44</v>
      </c>
      <c r="D39" s="16" t="s">
        <v>42</v>
      </c>
      <c r="E39" s="57">
        <v>1</v>
      </c>
      <c r="F39" s="58">
        <v>50000</v>
      </c>
      <c r="G39" s="58"/>
      <c r="H39" s="18">
        <f t="shared" si="2"/>
        <v>50000</v>
      </c>
      <c r="I39" s="10"/>
      <c r="L39" s="20"/>
    </row>
    <row r="40" spans="1:65" ht="16.149999999999999" customHeight="1" x14ac:dyDescent="0.25">
      <c r="B40" s="45">
        <v>9</v>
      </c>
      <c r="C40" s="59" t="s">
        <v>45</v>
      </c>
      <c r="D40" s="47"/>
      <c r="E40" s="47"/>
      <c r="F40" s="60"/>
      <c r="G40" s="60"/>
      <c r="H40" s="50">
        <f t="shared" si="2"/>
        <v>0</v>
      </c>
      <c r="I40" s="10"/>
      <c r="L40" s="51">
        <v>25000</v>
      </c>
      <c r="M40" s="52" t="s">
        <v>36</v>
      </c>
    </row>
    <row r="41" spans="1:65" ht="18" customHeight="1" x14ac:dyDescent="0.25">
      <c r="B41" s="15">
        <v>10</v>
      </c>
      <c r="C41" s="56" t="s">
        <v>46</v>
      </c>
      <c r="D41" s="16" t="s">
        <v>42</v>
      </c>
      <c r="E41" s="57">
        <v>1</v>
      </c>
      <c r="F41" s="58">
        <v>50000</v>
      </c>
      <c r="G41" s="58"/>
      <c r="H41" s="18">
        <f t="shared" si="2"/>
        <v>50000</v>
      </c>
      <c r="I41" s="61"/>
      <c r="L41" s="20"/>
      <c r="O41" s="7" t="s">
        <v>47</v>
      </c>
    </row>
    <row r="42" spans="1:65" ht="18" customHeight="1" x14ac:dyDescent="0.25">
      <c r="B42" s="15">
        <v>11</v>
      </c>
      <c r="C42" s="15" t="s">
        <v>48</v>
      </c>
      <c r="D42" s="16" t="s">
        <v>22</v>
      </c>
      <c r="E42" s="57">
        <v>5</v>
      </c>
      <c r="F42" s="58">
        <v>10000</v>
      </c>
      <c r="G42" s="58"/>
      <c r="H42" s="18">
        <f t="shared" si="2"/>
        <v>50000</v>
      </c>
      <c r="I42" s="10"/>
      <c r="L42" s="20"/>
    </row>
    <row r="43" spans="1:65" ht="30" x14ac:dyDescent="0.25">
      <c r="B43" s="15">
        <v>12</v>
      </c>
      <c r="C43" s="56" t="s">
        <v>49</v>
      </c>
      <c r="D43" s="16" t="s">
        <v>19</v>
      </c>
      <c r="E43" s="57">
        <v>1</v>
      </c>
      <c r="F43" s="58">
        <v>10000</v>
      </c>
      <c r="G43" s="58"/>
      <c r="H43" s="18">
        <f t="shared" si="2"/>
        <v>10000</v>
      </c>
      <c r="I43" s="10"/>
      <c r="L43" s="20"/>
    </row>
    <row r="45" spans="1:65" s="6" customFormat="1" ht="15.6" customHeight="1" x14ac:dyDescent="0.25">
      <c r="A45" s="1"/>
      <c r="B45" s="40" t="s">
        <v>50</v>
      </c>
      <c r="C45" s="40"/>
      <c r="D45" s="41"/>
      <c r="E45" s="41"/>
      <c r="F45" s="40"/>
      <c r="G45" s="40"/>
      <c r="H45" s="42">
        <f>SUM(H34:H43)</f>
        <v>560000</v>
      </c>
      <c r="I45" s="3"/>
      <c r="J45" s="43">
        <v>588500</v>
      </c>
      <c r="K45" s="1"/>
      <c r="L45" s="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14.45" x14ac:dyDescent="0.3">
      <c r="D46" s="7"/>
      <c r="E46" s="7"/>
    </row>
    <row r="47" spans="1:65" s="6" customFormat="1" ht="18" customHeight="1" x14ac:dyDescent="0.25">
      <c r="A47" s="1"/>
      <c r="B47" s="62" t="s">
        <v>51</v>
      </c>
      <c r="C47" s="62"/>
      <c r="D47" s="41"/>
      <c r="E47" s="41"/>
      <c r="F47" s="42"/>
      <c r="G47" s="42"/>
      <c r="H47" s="63">
        <f>H45+H27</f>
        <v>2570330</v>
      </c>
      <c r="I47" s="1"/>
      <c r="J47" s="43">
        <v>2596110</v>
      </c>
      <c r="K47" s="1"/>
      <c r="L47" s="63">
        <f>L40+L33+L32</f>
        <v>400000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65" s="6" customFormat="1" ht="18" customHeight="1" x14ac:dyDescent="0.3">
      <c r="A48" s="1"/>
      <c r="B48" s="1"/>
      <c r="C48" s="64"/>
      <c r="D48" s="2"/>
      <c r="E48" s="2"/>
      <c r="F48" s="3"/>
      <c r="G48" s="3"/>
      <c r="H48" s="65"/>
      <c r="I48" s="1"/>
      <c r="J48" s="4"/>
      <c r="K48" s="1"/>
      <c r="L48" s="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11" thickBot="1" x14ac:dyDescent="0.35">
      <c r="A49" s="66"/>
      <c r="B49" s="66"/>
      <c r="C49" s="66"/>
      <c r="D49" s="67"/>
      <c r="E49" s="67"/>
      <c r="F49" s="66"/>
      <c r="G49" s="66"/>
      <c r="H49" s="68"/>
      <c r="I49" s="66"/>
      <c r="J49" s="69"/>
      <c r="K49" s="66"/>
    </row>
    <row r="50" spans="1:11" ht="14.45" x14ac:dyDescent="0.3">
      <c r="B50" s="7" t="s">
        <v>47</v>
      </c>
    </row>
  </sheetData>
  <mergeCells count="1">
    <mergeCell ref="L20:P20"/>
  </mergeCells>
  <pageMargins left="0.75" right="0.75" top="1" bottom="1" header="0.51180555555555496" footer="0.51180555555555496"/>
  <pageSetup paperSize="9" scale="40" firstPageNumber="0" orientation="landscape" horizontalDpi="300" verticalDpi="300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8"/>
  <sheetViews>
    <sheetView zoomScaleNormal="100" workbookViewId="0">
      <selection activeCell="E11" sqref="E11"/>
    </sheetView>
  </sheetViews>
  <sheetFormatPr defaultColWidth="11.5703125" defaultRowHeight="15" x14ac:dyDescent="0.25"/>
  <cols>
    <col min="1" max="1" width="6.140625" style="7" customWidth="1"/>
    <col min="2" max="2" width="3.140625" style="7" customWidth="1"/>
    <col min="3" max="3" width="48.7109375" style="7" customWidth="1"/>
    <col min="4" max="4" width="14.85546875" style="77" customWidth="1"/>
    <col min="5" max="5" width="14.85546875" style="72" customWidth="1"/>
    <col min="6" max="6" width="14.85546875" style="78" customWidth="1"/>
    <col min="7" max="7" width="11.42578125" style="80" customWidth="1"/>
    <col min="8" max="54" width="11.42578125" style="7" customWidth="1"/>
    <col min="55" max="16384" width="11.5703125" style="13"/>
  </cols>
  <sheetData>
    <row r="1" spans="2:59" s="1" customFormat="1" ht="21" x14ac:dyDescent="0.25">
      <c r="B1" s="76" t="s">
        <v>53</v>
      </c>
      <c r="D1" s="77"/>
      <c r="E1" s="72"/>
      <c r="F1" s="78"/>
      <c r="G1" s="79"/>
      <c r="BC1" s="6"/>
      <c r="BD1" s="6"/>
      <c r="BE1" s="6"/>
      <c r="BF1" s="6"/>
      <c r="BG1" s="6"/>
    </row>
    <row r="2" spans="2:59" s="7" customFormat="1" ht="21" x14ac:dyDescent="0.3">
      <c r="B2" s="8"/>
      <c r="D2" s="77"/>
      <c r="E2" s="72"/>
      <c r="F2" s="78"/>
      <c r="G2" s="80"/>
      <c r="BC2" s="13"/>
      <c r="BD2" s="13"/>
      <c r="BE2" s="13"/>
      <c r="BF2" s="13"/>
      <c r="BG2" s="13"/>
    </row>
    <row r="3" spans="2:59" s="7" customFormat="1" ht="48" customHeight="1" x14ac:dyDescent="0.25">
      <c r="B3" s="15" t="s">
        <v>2</v>
      </c>
      <c r="C3" s="15" t="s">
        <v>3</v>
      </c>
      <c r="D3" s="81" t="s">
        <v>54</v>
      </c>
      <c r="E3" s="82" t="s">
        <v>55</v>
      </c>
      <c r="F3" s="83" t="s">
        <v>56</v>
      </c>
      <c r="G3" s="80"/>
      <c r="BC3" s="13"/>
      <c r="BD3" s="13"/>
      <c r="BE3" s="13"/>
      <c r="BF3" s="13"/>
      <c r="BG3" s="13"/>
    </row>
    <row r="4" spans="2:59" s="7" customFormat="1" ht="13.9" customHeight="1" x14ac:dyDescent="0.3">
      <c r="B4" s="15"/>
      <c r="C4" s="15"/>
      <c r="D4" s="81"/>
      <c r="E4" s="82"/>
      <c r="F4" s="83"/>
      <c r="G4" s="80"/>
      <c r="BC4" s="13"/>
      <c r="BD4" s="13"/>
      <c r="BE4" s="13"/>
      <c r="BF4" s="13"/>
      <c r="BG4" s="13"/>
    </row>
    <row r="5" spans="2:59" s="7" customFormat="1" ht="18" customHeight="1" x14ac:dyDescent="0.25">
      <c r="B5" s="21">
        <v>1</v>
      </c>
      <c r="C5" s="21" t="s">
        <v>57</v>
      </c>
      <c r="D5" s="84">
        <f>SUM('[1]Смета 2022-23'!G8:G12)+'[1]Смета 2022-23'!G14</f>
        <v>1169712</v>
      </c>
      <c r="E5" s="85">
        <f>SUM('[1]Смета 2022-23'!J8:J12)+'[1]Смета 2022-23'!J14</f>
        <v>906548.57000000007</v>
      </c>
      <c r="F5" s="86">
        <f>SUM('[1]Смета 2023-24'!H8:H13)</f>
        <v>1169712</v>
      </c>
      <c r="G5" s="87"/>
      <c r="BC5" s="13"/>
      <c r="BD5" s="13"/>
      <c r="BE5" s="13"/>
      <c r="BF5" s="13"/>
      <c r="BG5" s="13"/>
    </row>
    <row r="6" spans="2:59" s="7" customFormat="1" ht="18" customHeight="1" x14ac:dyDescent="0.25">
      <c r="B6" s="21">
        <v>2</v>
      </c>
      <c r="C6" s="21" t="s">
        <v>58</v>
      </c>
      <c r="D6" s="84">
        <f>'[1]Смета 2022-23'!G15</f>
        <v>120000</v>
      </c>
      <c r="E6" s="85">
        <f>'[1]Смета 2022-23'!J15</f>
        <v>145000</v>
      </c>
      <c r="F6" s="86">
        <f>SUM('[1]Смета 2023-24'!H14:H15)</f>
        <v>130000</v>
      </c>
      <c r="G6" s="87"/>
    </row>
    <row r="7" spans="2:59" ht="18" customHeight="1" x14ac:dyDescent="0.25">
      <c r="B7" s="21">
        <v>3</v>
      </c>
      <c r="C7" s="21" t="s">
        <v>24</v>
      </c>
      <c r="D7" s="84">
        <f>'[1]Смета 2022-23'!G20</f>
        <v>90000</v>
      </c>
      <c r="E7" s="85">
        <f>'[1]Смета 2022-23'!J20</f>
        <v>20000</v>
      </c>
      <c r="F7" s="86">
        <f>'[1]Смета 2023-24'!H19</f>
        <v>100000</v>
      </c>
      <c r="G7" s="87"/>
    </row>
    <row r="8" spans="2:59" ht="18" customHeight="1" x14ac:dyDescent="0.25">
      <c r="B8" s="15">
        <v>4</v>
      </c>
      <c r="C8" s="56" t="s">
        <v>59</v>
      </c>
      <c r="D8" s="84">
        <f>'[1]Смета 2022-23'!G21+'[1]Смета 2022-23'!G41+'[1]Смета 2022-23'!G33+'[1]Смета 2022-23'!G34</f>
        <v>160000</v>
      </c>
      <c r="E8" s="85">
        <f>'[1]Смета 2022-23'!J21+'[1]Смета 2022-23'!J33</f>
        <v>193425.6</v>
      </c>
      <c r="F8" s="86">
        <f>'[1]Смета 2023-24'!H20</f>
        <v>120000</v>
      </c>
      <c r="G8" s="87"/>
    </row>
    <row r="9" spans="2:59" ht="18" customHeight="1" x14ac:dyDescent="0.25">
      <c r="B9" s="15">
        <v>5</v>
      </c>
      <c r="C9" s="56" t="s">
        <v>60</v>
      </c>
      <c r="D9" s="84">
        <f>+'[1]Смета 2022-23'!G42+'[1]Смета 2022-23'!G43</f>
        <v>100000</v>
      </c>
      <c r="E9" s="85"/>
      <c r="F9" s="86">
        <f>'[1]Смета 2023-24'!H21+'[1]Смета 2023-24'!H41+'[1]Смета 2023-24'!H42</f>
        <v>220000</v>
      </c>
      <c r="G9" s="87"/>
    </row>
    <row r="10" spans="2:59" ht="18" customHeight="1" x14ac:dyDescent="0.25">
      <c r="B10" s="15">
        <v>6</v>
      </c>
      <c r="C10" s="56" t="s">
        <v>61</v>
      </c>
      <c r="D10" s="84">
        <f>'[1]Смета 2022-23'!G39+'[1]Смета 2022-23'!G40</f>
        <v>100000</v>
      </c>
      <c r="E10" s="85">
        <f>'[1]Смета 2022-23'!J39</f>
        <v>15720</v>
      </c>
      <c r="F10" s="86">
        <f>'[1]Смета 2023-24'!H38+'[1]Смета 2023-24'!H39</f>
        <v>100000</v>
      </c>
      <c r="G10" s="87"/>
    </row>
    <row r="11" spans="2:59" ht="18" customHeight="1" x14ac:dyDescent="0.25">
      <c r="B11" s="15">
        <v>7</v>
      </c>
      <c r="C11" s="55" t="s">
        <v>62</v>
      </c>
      <c r="D11" s="84">
        <f>'[1]Смета 2022-23'!G23+'[1]Смета 2022-23'!G24</f>
        <v>300000</v>
      </c>
      <c r="E11" s="85">
        <f>'[1]Смета 2022-23'!J23</f>
        <v>316997.07999999996</v>
      </c>
      <c r="F11" s="86">
        <f>'[1]Смета 2023-24'!H22+'[1]Смета 2023-24'!H23</f>
        <v>180000</v>
      </c>
      <c r="G11" s="87"/>
    </row>
    <row r="12" spans="2:59" ht="18" customHeight="1" x14ac:dyDescent="0.25">
      <c r="B12" s="15">
        <v>8</v>
      </c>
      <c r="C12" s="55" t="s">
        <v>63</v>
      </c>
      <c r="D12" s="84">
        <f>'[1]Смета 2022-23'!G22</f>
        <v>30000</v>
      </c>
      <c r="E12" s="85">
        <f>'[1]Смета 2022-23'!J22</f>
        <v>26000</v>
      </c>
      <c r="F12" s="86"/>
      <c r="G12" s="87"/>
    </row>
    <row r="13" spans="2:59" ht="18" customHeight="1" x14ac:dyDescent="0.25">
      <c r="B13" s="15">
        <v>9</v>
      </c>
      <c r="C13" s="55" t="s">
        <v>29</v>
      </c>
      <c r="D13" s="84">
        <f>'[1]Смета 2022-23'!G25</f>
        <v>150000</v>
      </c>
      <c r="E13" s="85">
        <f>'[1]Смета 2022-23'!J25</f>
        <v>151985.91999999998</v>
      </c>
      <c r="F13" s="86">
        <f>'[1]Смета 2023-24'!H24</f>
        <v>150000</v>
      </c>
      <c r="G13" s="87"/>
    </row>
    <row r="14" spans="2:59" ht="18" customHeight="1" x14ac:dyDescent="0.25">
      <c r="B14" s="15">
        <v>10</v>
      </c>
      <c r="C14" s="55" t="s">
        <v>64</v>
      </c>
      <c r="D14" s="84">
        <f>'[1]Смета 2022-23'!G38</f>
        <v>100000</v>
      </c>
      <c r="E14" s="85">
        <f>'[1]Смета 2022-23'!J38</f>
        <v>129200</v>
      </c>
      <c r="F14" s="86">
        <f>'[1]Смета 2023-24'!H37</f>
        <v>200000</v>
      </c>
      <c r="G14" s="87"/>
    </row>
    <row r="15" spans="2:59" ht="18" customHeight="1" x14ac:dyDescent="0.25">
      <c r="B15" s="15">
        <v>11</v>
      </c>
      <c r="C15" s="55" t="s">
        <v>65</v>
      </c>
      <c r="D15" s="84">
        <f>'[1]Смета 2022-23'!G37</f>
        <v>238500</v>
      </c>
      <c r="E15" s="85">
        <f>'[1]Смета 2022-23'!J37</f>
        <v>198000</v>
      </c>
      <c r="F15" s="86">
        <f>'[1]Смета 2023-24'!H36</f>
        <v>250000</v>
      </c>
      <c r="G15" s="87"/>
    </row>
    <row r="16" spans="2:59" ht="18" customHeight="1" x14ac:dyDescent="0.25">
      <c r="B16" s="15">
        <v>12</v>
      </c>
      <c r="C16" s="15" t="s">
        <v>66</v>
      </c>
      <c r="D16" s="84">
        <f>'[1]Смета 2022-23'!G26+'[1]Смета 2022-23'!G44+'[1]Смета 2022-23'!G18+'[1]Смета 2022-23'!G17+'[1]Смета 2022-23'!G19</f>
        <v>37898</v>
      </c>
      <c r="E16" s="85">
        <f>'[1]Смета 2022-23'!J26+'[1]Смета 2022-23'!J18+'[1]Смета 2022-23'!J19</f>
        <v>15733.360000000002</v>
      </c>
      <c r="F16" s="86">
        <f>'[1]Смета 2023-24'!H43+'[1]Смета 2023-24'!H25+'[1]Смета 2023-24'!H18+'[1]Смета 2023-24'!H17+'[1]Смета 2023-24'!H16</f>
        <v>37898</v>
      </c>
      <c r="G16" s="87"/>
    </row>
    <row r="17" spans="1:54" ht="14.45" x14ac:dyDescent="0.3">
      <c r="B17" s="15"/>
      <c r="C17" s="15"/>
      <c r="D17" s="88"/>
      <c r="E17" s="89"/>
      <c r="F17" s="90"/>
      <c r="G17" s="87"/>
    </row>
    <row r="18" spans="1:54" s="6" customFormat="1" ht="15" customHeight="1" x14ac:dyDescent="0.25">
      <c r="A18" s="1"/>
      <c r="B18" s="91" t="s">
        <v>67</v>
      </c>
      <c r="C18" s="91"/>
      <c r="D18" s="92">
        <f>SUM(D4:D17)</f>
        <v>2596110</v>
      </c>
      <c r="E18" s="93">
        <f>SUM(E4:E17)</f>
        <v>2118610.5299999998</v>
      </c>
      <c r="F18" s="94">
        <f>SUM(F4:F17)</f>
        <v>2657610</v>
      </c>
      <c r="G18" s="8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</sheetData>
  <pageMargins left="0.74803149606299213" right="0.74803149606299213" top="0.98425196850393704" bottom="0.98425196850393704" header="0.51181102362204722" footer="0.51181102362204722"/>
  <pageSetup paperSize="9" scale="80" firstPageNumber="0" orientation="portrait" verticalDpi="30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2023-24</vt:lpstr>
      <vt:lpstr>План-фактный анализ 2022-2023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Мелентьева Кристина Лукинична</dc:creator>
  <cp:lastModifiedBy>Yan Korshunov</cp:lastModifiedBy>
  <dcterms:created xsi:type="dcterms:W3CDTF">2023-04-19T17:32:32Z</dcterms:created>
  <dcterms:modified xsi:type="dcterms:W3CDTF">2023-09-15T16:55:54Z</dcterms:modified>
</cp:coreProperties>
</file>